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-2" sheetId="8" r:id="rId8"/>
    <sheet name="січень" sheetId="9" r:id="rId9"/>
  </sheets>
  <definedNames>
    <definedName name="_xlnm.Print_Area" localSheetId="8">'січень'!$A$1:$R$87</definedName>
    <definedName name="_xlnm.Print_Area" localSheetId="2">'червень'!$B$2:$J$85</definedName>
  </definedNames>
  <calcPr fullCalcOnLoad="1"/>
</workbook>
</file>

<file path=xl/sharedStrings.xml><?xml version="1.0" encoding="utf-8"?>
<sst xmlns="http://schemas.openxmlformats.org/spreadsheetml/2006/main" count="1159" uniqueCount="198">
  <si>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</si>
  <si>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</si>
  <si>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</si>
  <si>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</si>
  <si>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</si>
  <si>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</si>
  <si>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</si>
  <si>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</si>
  <si>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</si>
  <si>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</si>
  <si>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</si>
  <si>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</si>
  <si>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</si>
  <si>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</si>
  <si>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</si>
  <si>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</si>
  <si>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</si>
  <si>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</si>
  <si>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</si>
  <si>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</si>
  <si>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</si>
  <si>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</si>
  <si>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</si>
  <si>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</si>
  <si>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</si>
  <si>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</si>
  <si>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</si>
  <si>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</si>
  <si>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</si>
  <si>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</si>
  <si>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</si>
  <si>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</si>
  <si>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</si>
  <si>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</si>
  <si>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</si>
  <si>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</si>
  <si>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</si>
  <si>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</si>
  <si>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</si>
  <si>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</si>
  <si>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</si>
  <si>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</si>
  <si>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</si>
  <si>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</si>
  <si>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</si>
  <si>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</si>
  <si>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</si>
  <si>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</si>
  <si>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</si>
  <si>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</si>
  <si>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</si>
  <si>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</si>
  <si>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</si>
  <si>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</si>
  <si>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</si>
  <si>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</si>
  <si>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</si>
  <si>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</si>
  <si>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</si>
  <si>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</si>
  <si>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</si>
  <si>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</si>
  <si>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</si>
  <si>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</si>
  <si>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</si>
  <si>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</si>
  <si>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</si>
  <si>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</si>
  <si>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</si>
  <si>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</si>
  <si>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</si>
  <si>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</si>
  <si>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</si>
  <si>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</si>
  <si>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</si>
  <si>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</si>
  <si>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</si>
  <si>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</si>
  <si>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</si>
  <si>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</si>
  <si>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</si>
  <si>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</si>
  <si>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</si>
  <si>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</si>
  <si>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</si>
  <si>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</si>
  <si>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</si>
  <si>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</si>
  <si>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</si>
  <si>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</si>
  <si>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</si>
  <si>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</si>
  <si>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</si>
  <si>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</si>
  <si>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</si>
  <si>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</si>
  <si>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</si>
  <si>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</si>
  <si>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</si>
  <si>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</si>
  <si>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</si>
  <si>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</si>
  <si>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</si>
  <si>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</si>
  <si>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</si>
  <si>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</si>
  <si>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</si>
  <si>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</si>
  <si>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</si>
  <si>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</si>
  <si>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</si>
  <si>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</si>
  <si>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</si>
  <si>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</si>
  <si>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</si>
  <si>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</si>
  <si>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</si>
  <si>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</si>
  <si>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</si>
  <si>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</si>
  <si>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</si>
  <si>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</si>
  <si>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</si>
  <si>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</si>
  <si>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</si>
  <si>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</si>
  <si>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</si>
  <si>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</si>
  <si>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</si>
  <si>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</si>
  <si>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</si>
  <si>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</si>
  <si>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</si>
  <si>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</si>
  <si>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</si>
  <si>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</si>
  <si>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</si>
  <si>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</si>
  <si>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</si>
  <si>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</si>
  <si>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</si>
  <si>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</si>
  <si>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</si>
  <si>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</si>
  <si>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</si>
  <si>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</si>
  <si>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</si>
  <si>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</si>
  <si>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</si>
  <si>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</si>
  <si>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</si>
  <si>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</si>
  <si>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</si>
  <si>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</si>
  <si>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</si>
  <si>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</si>
  <si>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</si>
  <si>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</si>
  <si>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</si>
  <si>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</si>
  <si>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</si>
  <si>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</si>
  <si>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</si>
  <si>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</si>
  <si>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</si>
  <si>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</si>
  <si>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</si>
  <si>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</si>
  <si>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</si>
  <si>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</si>
  <si>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</si>
  <si>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</si>
  <si>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</si>
  <si>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</si>
  <si>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</si>
  <si>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</si>
  <si>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</si>
  <si>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</si>
  <si>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</si>
  <si>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</si>
  <si>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</si>
  <si>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</si>
  <si>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</si>
  <si>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</si>
  <si>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</si>
  <si>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</si>
  <si>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</si>
  <si>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</si>
  <si>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</si>
  <si>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</si>
  <si>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</si>
  <si>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</si>
  <si>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</si>
  <si>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</si>
  <si>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</si>
  <si>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</si>
  <si>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05.08.2016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</si>
  <si>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04.08.16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</si>
</sst>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0" fontId="3" fillId="0" borderId="0" xfId="54" applyFont="1" applyAlignment="1" applyProtection="1">
      <alignment horizontal="center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9" zoomScaleNormal="79" zoomScalePageLayoutView="0" workbookViewId="0" topLeftCell="B1">
      <selection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4" t="s">
        <v>196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92"/>
      <c r="S1" s="93"/>
    </row>
    <row r="2" spans="2:19" s="1" customFormat="1" ht="15.75" customHeight="1">
      <c r="B2" s="435"/>
      <c r="C2" s="435"/>
      <c r="D2" s="435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89"/>
      <c r="N3" s="444" t="s">
        <v>193</v>
      </c>
      <c r="O3" s="445" t="s">
        <v>194</v>
      </c>
      <c r="P3" s="445"/>
      <c r="Q3" s="445"/>
      <c r="R3" s="445"/>
      <c r="S3" s="445"/>
    </row>
    <row r="4" spans="1:19" ht="22.5" customHeight="1">
      <c r="A4" s="436"/>
      <c r="B4" s="438"/>
      <c r="C4" s="439"/>
      <c r="D4" s="440"/>
      <c r="E4" s="446" t="s">
        <v>190</v>
      </c>
      <c r="F4" s="428" t="s">
        <v>34</v>
      </c>
      <c r="G4" s="421" t="s">
        <v>191</v>
      </c>
      <c r="H4" s="430" t="s">
        <v>192</v>
      </c>
      <c r="I4" s="421" t="s">
        <v>122</v>
      </c>
      <c r="J4" s="430" t="s">
        <v>123</v>
      </c>
      <c r="K4" s="91" t="s">
        <v>186</v>
      </c>
      <c r="L4" s="249" t="s">
        <v>185</v>
      </c>
      <c r="M4" s="96" t="s">
        <v>64</v>
      </c>
      <c r="N4" s="430"/>
      <c r="O4" s="432" t="s">
        <v>197</v>
      </c>
      <c r="P4" s="421" t="s">
        <v>50</v>
      </c>
      <c r="Q4" s="423" t="s">
        <v>49</v>
      </c>
      <c r="R4" s="97" t="s">
        <v>65</v>
      </c>
      <c r="S4" s="98" t="s">
        <v>64</v>
      </c>
    </row>
    <row r="5" spans="1:19" ht="67.5" customHeight="1">
      <c r="A5" s="437"/>
      <c r="B5" s="438"/>
      <c r="C5" s="439"/>
      <c r="D5" s="440"/>
      <c r="E5" s="447"/>
      <c r="F5" s="429"/>
      <c r="G5" s="422"/>
      <c r="H5" s="431"/>
      <c r="I5" s="422"/>
      <c r="J5" s="431"/>
      <c r="K5" s="424" t="s">
        <v>195</v>
      </c>
      <c r="L5" s="425"/>
      <c r="M5" s="426"/>
      <c r="N5" s="431"/>
      <c r="O5" s="433"/>
      <c r="P5" s="422"/>
      <c r="Q5" s="423"/>
      <c r="R5" s="424" t="s">
        <v>120</v>
      </c>
      <c r="S5" s="426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616527.98</v>
      </c>
      <c r="F8" s="191">
        <f>F9+F15+F18+F19+F20+F37+F17</f>
        <v>552936.86</v>
      </c>
      <c r="G8" s="191">
        <f aca="true" t="shared" si="0" ref="G8:G37">F8-E8</f>
        <v>-63591.119999999995</v>
      </c>
      <c r="H8" s="192">
        <f>F8/E8*100</f>
        <v>89.6856068073342</v>
      </c>
      <c r="I8" s="193">
        <f>F8-D8</f>
        <v>-381134.5900000001</v>
      </c>
      <c r="J8" s="193">
        <f>F8/D8*100</f>
        <v>59.196420145375384</v>
      </c>
      <c r="K8" s="191">
        <f>429512.12</f>
        <v>429512.12</v>
      </c>
      <c r="L8" s="191">
        <f aca="true" t="shared" si="1" ref="L8:L51">F8-K8</f>
        <v>123424.73999999999</v>
      </c>
      <c r="M8" s="250">
        <f aca="true" t="shared" si="2" ref="M8:M28">F8/K8</f>
        <v>1.2873603194247463</v>
      </c>
      <c r="N8" s="191">
        <f>N9+N15+N18+N19+N20+N17</f>
        <v>117576.69999999995</v>
      </c>
      <c r="O8" s="191">
        <f>O9+O15+O18+O19+O20+O17</f>
        <v>9129.899999999961</v>
      </c>
      <c r="P8" s="191">
        <f>O8-N8</f>
        <v>-108446.79999999999</v>
      </c>
      <c r="Q8" s="191">
        <f>O8/N8*100</f>
        <v>7.765058893471211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328493.67</v>
      </c>
      <c r="F9" s="196">
        <v>300274.11</v>
      </c>
      <c r="G9" s="190">
        <f t="shared" si="0"/>
        <v>-28219.559999999998</v>
      </c>
      <c r="H9" s="197">
        <f>F9/E9*100</f>
        <v>91.40940524059414</v>
      </c>
      <c r="I9" s="198">
        <f>F9-D9</f>
        <v>-230314.89</v>
      </c>
      <c r="J9" s="198">
        <f>F9/D9*100</f>
        <v>56.59259992197351</v>
      </c>
      <c r="K9" s="199">
        <v>233711.01</v>
      </c>
      <c r="L9" s="199">
        <f t="shared" si="1"/>
        <v>66563.09999999998</v>
      </c>
      <c r="M9" s="251">
        <f t="shared" si="2"/>
        <v>1.284809431956158</v>
      </c>
      <c r="N9" s="197">
        <f>E9-липень!E9</f>
        <v>65234.399999999965</v>
      </c>
      <c r="O9" s="200">
        <f>F9-липень!F9</f>
        <v>4864.399999999965</v>
      </c>
      <c r="P9" s="201">
        <f>O9-N9</f>
        <v>-60370</v>
      </c>
      <c r="Q9" s="198">
        <f>O9/N9*100</f>
        <v>7.456801932722564</v>
      </c>
      <c r="R9" s="106"/>
      <c r="S9" s="107"/>
      <c r="T9" s="186">
        <f>D9-E9</f>
        <v>202095.33000000002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263773.57</v>
      </c>
      <c r="G10" s="109">
        <f t="shared" si="0"/>
        <v>-31596.669999999984</v>
      </c>
      <c r="H10" s="32">
        <f aca="true" t="shared" si="3" ref="H10:H36">F10/E10*100</f>
        <v>89.30269007466697</v>
      </c>
      <c r="I10" s="110">
        <f aca="true" t="shared" si="4" ref="I10:I37">F10-D10</f>
        <v>-221435.43</v>
      </c>
      <c r="J10" s="110">
        <f aca="true" t="shared" si="5" ref="J10:J36">F10/D10*100</f>
        <v>54.36287661605618</v>
      </c>
      <c r="K10" s="112">
        <v>206618.21</v>
      </c>
      <c r="L10" s="112">
        <f t="shared" si="1"/>
        <v>57155.360000000015</v>
      </c>
      <c r="M10" s="252">
        <f t="shared" si="2"/>
        <v>1.2766230527309284</v>
      </c>
      <c r="N10" s="111">
        <f>E10-липень!E10</f>
        <v>61354.399999999994</v>
      </c>
      <c r="O10" s="179">
        <f>F10-липень!F10</f>
        <v>4667.670000000013</v>
      </c>
      <c r="P10" s="112">
        <f aca="true" t="shared" si="6" ref="P10:P37">O10-N10</f>
        <v>-56686.72999999998</v>
      </c>
      <c r="Q10" s="198">
        <f aca="true" t="shared" si="7" ref="Q10:Q16">O10/N10*100</f>
        <v>7.607718435841623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17714.94</v>
      </c>
      <c r="F11" s="171">
        <v>21589.26</v>
      </c>
      <c r="G11" s="109">
        <f t="shared" si="0"/>
        <v>3874.3199999999997</v>
      </c>
      <c r="H11" s="32">
        <f t="shared" si="3"/>
        <v>121.8703534982337</v>
      </c>
      <c r="I11" s="110">
        <f t="shared" si="4"/>
        <v>-1410.7400000000016</v>
      </c>
      <c r="J11" s="110">
        <f t="shared" si="5"/>
        <v>93.86634782608695</v>
      </c>
      <c r="K11" s="112">
        <v>12408.56</v>
      </c>
      <c r="L11" s="112">
        <f t="shared" si="1"/>
        <v>9180.699999999999</v>
      </c>
      <c r="M11" s="252">
        <f t="shared" si="2"/>
        <v>1.7398682844745885</v>
      </c>
      <c r="N11" s="111">
        <f>E11-липень!E11</f>
        <v>1799.9999999999982</v>
      </c>
      <c r="O11" s="179">
        <f>F11-липень!F11</f>
        <v>3.2299999999995634</v>
      </c>
      <c r="P11" s="112">
        <f t="shared" si="6"/>
        <v>-1796.7699999999986</v>
      </c>
      <c r="Q11" s="198">
        <f t="shared" si="7"/>
        <v>0.17944444444442037</v>
      </c>
      <c r="R11" s="42"/>
      <c r="S11" s="100"/>
      <c r="T11" s="186">
        <f t="shared" si="8"/>
        <v>5285.060000000001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3600.61</v>
      </c>
      <c r="F12" s="171">
        <v>5923.58</v>
      </c>
      <c r="G12" s="109">
        <f t="shared" si="0"/>
        <v>2322.97</v>
      </c>
      <c r="H12" s="32">
        <f t="shared" si="3"/>
        <v>164.51601256453768</v>
      </c>
      <c r="I12" s="110">
        <f t="shared" si="4"/>
        <v>-576.4200000000001</v>
      </c>
      <c r="J12" s="110">
        <f t="shared" si="5"/>
        <v>91.132</v>
      </c>
      <c r="K12" s="112">
        <v>3331.36</v>
      </c>
      <c r="L12" s="112">
        <f t="shared" si="1"/>
        <v>2592.22</v>
      </c>
      <c r="M12" s="252">
        <f t="shared" si="2"/>
        <v>1.7781266509773785</v>
      </c>
      <c r="N12" s="111">
        <f>E12-липень!E12</f>
        <v>330</v>
      </c>
      <c r="O12" s="179">
        <f>F12-липень!F12</f>
        <v>86.14000000000033</v>
      </c>
      <c r="P12" s="112">
        <f t="shared" si="6"/>
        <v>-243.85999999999967</v>
      </c>
      <c r="Q12" s="198">
        <f t="shared" si="7"/>
        <v>26.1030303030304</v>
      </c>
      <c r="R12" s="42"/>
      <c r="S12" s="100"/>
      <c r="T12" s="186">
        <f t="shared" si="8"/>
        <v>2899.39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6510.58</v>
      </c>
      <c r="G13" s="109">
        <f t="shared" si="0"/>
        <v>-1854.2600000000002</v>
      </c>
      <c r="H13" s="32">
        <f t="shared" si="3"/>
        <v>77.83269016502408</v>
      </c>
      <c r="I13" s="110">
        <f t="shared" si="4"/>
        <v>-5889.42</v>
      </c>
      <c r="J13" s="110">
        <f t="shared" si="5"/>
        <v>52.50467741935484</v>
      </c>
      <c r="K13" s="112">
        <v>4976.73</v>
      </c>
      <c r="L13" s="112">
        <f t="shared" si="1"/>
        <v>1533.8500000000004</v>
      </c>
      <c r="M13" s="252">
        <f t="shared" si="2"/>
        <v>1.3082043831994101</v>
      </c>
      <c r="N13" s="111">
        <f>E13-липень!E13</f>
        <v>1600</v>
      </c>
      <c r="O13" s="179">
        <f>F13-липень!F13</f>
        <v>81.11999999999989</v>
      </c>
      <c r="P13" s="112">
        <f t="shared" si="6"/>
        <v>-1518.88</v>
      </c>
      <c r="Q13" s="198">
        <f t="shared" si="7"/>
        <v>5.069999999999993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2477.13</v>
      </c>
      <c r="G14" s="109">
        <f t="shared" si="0"/>
        <v>-965.9099999999999</v>
      </c>
      <c r="H14" s="32">
        <f t="shared" si="3"/>
        <v>71.94601282587482</v>
      </c>
      <c r="I14" s="110">
        <f t="shared" si="4"/>
        <v>-1002.8699999999999</v>
      </c>
      <c r="J14" s="110">
        <f t="shared" si="5"/>
        <v>71.18189655172415</v>
      </c>
      <c r="K14" s="112">
        <v>6376.14</v>
      </c>
      <c r="L14" s="112">
        <f t="shared" si="1"/>
        <v>-3899.01</v>
      </c>
      <c r="M14" s="252">
        <f t="shared" si="2"/>
        <v>0.38849993883446726</v>
      </c>
      <c r="N14" s="111">
        <f>E14-липень!E14</f>
        <v>150</v>
      </c>
      <c r="O14" s="179">
        <f>F14-липень!F14</f>
        <v>26.25</v>
      </c>
      <c r="P14" s="112">
        <f t="shared" si="6"/>
        <v>-123.75</v>
      </c>
      <c r="Q14" s="198">
        <f t="shared" si="7"/>
        <v>17.5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319.68</v>
      </c>
      <c r="G15" s="190">
        <f t="shared" si="0"/>
        <v>-45.31999999999999</v>
      </c>
      <c r="H15" s="197">
        <f>F15/E15*100</f>
        <v>87.58356164383562</v>
      </c>
      <c r="I15" s="198">
        <f t="shared" si="4"/>
        <v>-180.32</v>
      </c>
      <c r="J15" s="198">
        <f t="shared" si="5"/>
        <v>63.93600000000001</v>
      </c>
      <c r="K15" s="201">
        <v>-734.58</v>
      </c>
      <c r="L15" s="201">
        <f t="shared" si="1"/>
        <v>1054.26</v>
      </c>
      <c r="M15" s="253">
        <f t="shared" si="2"/>
        <v>-0.43518745405537856</v>
      </c>
      <c r="N15" s="197">
        <f>E15-липень!E15</f>
        <v>115</v>
      </c>
      <c r="O15" s="200">
        <f>F15-липень!F15</f>
        <v>10.439999999999998</v>
      </c>
      <c r="P15" s="201">
        <f t="shared" si="6"/>
        <v>-104.56</v>
      </c>
      <c r="Q15" s="198">
        <f t="shared" si="7"/>
        <v>9.078260869565215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54311.83</v>
      </c>
      <c r="G19" s="190">
        <f t="shared" si="0"/>
        <v>-14948.569999999992</v>
      </c>
      <c r="H19" s="197">
        <f t="shared" si="3"/>
        <v>78.41685869558941</v>
      </c>
      <c r="I19" s="198">
        <f t="shared" si="4"/>
        <v>-55588.17</v>
      </c>
      <c r="J19" s="198">
        <f t="shared" si="5"/>
        <v>49.419317561419476</v>
      </c>
      <c r="K19" s="209">
        <v>43877.66</v>
      </c>
      <c r="L19" s="201">
        <f t="shared" si="1"/>
        <v>10434.169999999998</v>
      </c>
      <c r="M19" s="259">
        <f t="shared" si="2"/>
        <v>1.2378014233211159</v>
      </c>
      <c r="N19" s="197">
        <f>E19-липень!E19</f>
        <v>10499.999999999993</v>
      </c>
      <c r="O19" s="200">
        <f>F19-липень!F19</f>
        <v>20.630000000004657</v>
      </c>
      <c r="P19" s="201">
        <f t="shared" si="6"/>
        <v>-10479.369999999988</v>
      </c>
      <c r="Q19" s="198">
        <f aca="true" t="shared" si="9" ref="Q19:Q24">O19/N19*100</f>
        <v>0.19647619047623494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218303.11</v>
      </c>
      <c r="F20" s="272">
        <f>F21+F29+F30+F31+F32</f>
        <v>197925.27</v>
      </c>
      <c r="G20" s="190">
        <f t="shared" si="0"/>
        <v>-20377.839999999997</v>
      </c>
      <c r="H20" s="197">
        <f t="shared" si="3"/>
        <v>90.66534599529984</v>
      </c>
      <c r="I20" s="198">
        <f t="shared" si="4"/>
        <v>-95051.38000000003</v>
      </c>
      <c r="J20" s="198">
        <f t="shared" si="5"/>
        <v>67.55667047186182</v>
      </c>
      <c r="K20" s="198">
        <v>147068.17</v>
      </c>
      <c r="L20" s="201">
        <f t="shared" si="1"/>
        <v>50857.09999999998</v>
      </c>
      <c r="M20" s="254">
        <f t="shared" si="2"/>
        <v>1.345806301934674</v>
      </c>
      <c r="N20" s="197">
        <f>N21+N30+N31+N32</f>
        <v>41631.5</v>
      </c>
      <c r="O20" s="200">
        <f>F20-липень!F20</f>
        <v>4234.429999999993</v>
      </c>
      <c r="P20" s="201">
        <f t="shared" si="6"/>
        <v>-37397.07000000001</v>
      </c>
      <c r="Q20" s="198">
        <f t="shared" si="9"/>
        <v>10.171216506731664</v>
      </c>
      <c r="R20" s="113"/>
      <c r="S20" s="114"/>
      <c r="T20" s="186">
        <f t="shared" si="8"/>
        <v>74673.54000000004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119438.95999999999</v>
      </c>
      <c r="F21" s="211">
        <f>F22+F25+F26</f>
        <v>106642.91</v>
      </c>
      <c r="G21" s="190">
        <f t="shared" si="0"/>
        <v>-12796.049999999988</v>
      </c>
      <c r="H21" s="197">
        <f t="shared" si="3"/>
        <v>89.2865359845732</v>
      </c>
      <c r="I21" s="198">
        <f t="shared" si="4"/>
        <v>-68256.73999999999</v>
      </c>
      <c r="J21" s="198">
        <f t="shared" si="5"/>
        <v>60.97376981600593</v>
      </c>
      <c r="K21" s="198">
        <v>79798.88</v>
      </c>
      <c r="L21" s="201">
        <f t="shared" si="1"/>
        <v>26844.03</v>
      </c>
      <c r="M21" s="254">
        <f t="shared" si="2"/>
        <v>1.336396074731876</v>
      </c>
      <c r="N21" s="197">
        <f>N22+N25+N26</f>
        <v>22950.3</v>
      </c>
      <c r="O21" s="200">
        <f>F21-червень!F21</f>
        <v>20648.520000000004</v>
      </c>
      <c r="P21" s="201">
        <f t="shared" si="6"/>
        <v>-2301.779999999995</v>
      </c>
      <c r="Q21" s="198">
        <f t="shared" si="9"/>
        <v>89.97058861975663</v>
      </c>
      <c r="R21" s="113"/>
      <c r="S21" s="114"/>
      <c r="T21" s="186">
        <f t="shared" si="8"/>
        <v>55460.69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14018.55</v>
      </c>
      <c r="G22" s="212">
        <f t="shared" si="0"/>
        <v>-558.3500000000004</v>
      </c>
      <c r="H22" s="214">
        <f t="shared" si="3"/>
        <v>96.16962454294122</v>
      </c>
      <c r="I22" s="215">
        <f t="shared" si="4"/>
        <v>-4481.450000000001</v>
      </c>
      <c r="J22" s="215">
        <f t="shared" si="5"/>
        <v>75.77594594594595</v>
      </c>
      <c r="K22" s="216">
        <v>8673.74</v>
      </c>
      <c r="L22" s="206">
        <f t="shared" si="1"/>
        <v>5344.8099999999995</v>
      </c>
      <c r="M22" s="262">
        <f t="shared" si="2"/>
        <v>1.6162059273162441</v>
      </c>
      <c r="N22" s="214">
        <f>E22-липень!E22</f>
        <v>1985.2999999999993</v>
      </c>
      <c r="O22" s="217">
        <f>F22-липень!F22</f>
        <v>148.40999999999985</v>
      </c>
      <c r="P22" s="218">
        <f t="shared" si="6"/>
        <v>-1836.8899999999994</v>
      </c>
      <c r="Q22" s="215">
        <f t="shared" si="9"/>
        <v>7.475444517201425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552.33</v>
      </c>
      <c r="G23" s="241">
        <f t="shared" si="0"/>
        <v>-322.06999999999994</v>
      </c>
      <c r="H23" s="242">
        <f t="shared" si="3"/>
        <v>63.16674290942361</v>
      </c>
      <c r="I23" s="243">
        <f t="shared" si="4"/>
        <v>-1447.67</v>
      </c>
      <c r="J23" s="243">
        <f t="shared" si="5"/>
        <v>27.6165</v>
      </c>
      <c r="K23" s="261">
        <v>526.9</v>
      </c>
      <c r="L23" s="261">
        <f t="shared" si="1"/>
        <v>25.430000000000064</v>
      </c>
      <c r="M23" s="263">
        <f t="shared" si="2"/>
        <v>1.0482634275953693</v>
      </c>
      <c r="N23" s="239">
        <f>E23-липень!E23</f>
        <v>185.29999999999995</v>
      </c>
      <c r="O23" s="239">
        <f>F23-липень!F23</f>
        <v>14.5</v>
      </c>
      <c r="P23" s="240">
        <f t="shared" si="6"/>
        <v>-170.79999999999995</v>
      </c>
      <c r="Q23" s="240">
        <f t="shared" si="9"/>
        <v>7.82514840798705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13466.22</v>
      </c>
      <c r="G24" s="241">
        <f t="shared" si="0"/>
        <v>-236.28000000000065</v>
      </c>
      <c r="H24" s="242">
        <f t="shared" si="3"/>
        <v>98.27564313081554</v>
      </c>
      <c r="I24" s="243">
        <f t="shared" si="4"/>
        <v>-3033.7800000000007</v>
      </c>
      <c r="J24" s="243">
        <f t="shared" si="5"/>
        <v>81.61345454545454</v>
      </c>
      <c r="K24" s="261">
        <v>8146.84</v>
      </c>
      <c r="L24" s="261">
        <f t="shared" si="1"/>
        <v>5319.379999999999</v>
      </c>
      <c r="M24" s="263">
        <f t="shared" si="2"/>
        <v>1.652937826200097</v>
      </c>
      <c r="N24" s="239">
        <f>E24-липень!E24</f>
        <v>1800</v>
      </c>
      <c r="O24" s="239">
        <f>F24-липень!F24</f>
        <v>133.90999999999985</v>
      </c>
      <c r="P24" s="240">
        <f t="shared" si="6"/>
        <v>-1666.0900000000001</v>
      </c>
      <c r="Q24" s="240">
        <f t="shared" si="9"/>
        <v>7.439444444444436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485.67</v>
      </c>
      <c r="G25" s="212">
        <f t="shared" si="0"/>
        <v>-407.46999999999997</v>
      </c>
      <c r="H25" s="214">
        <f t="shared" si="3"/>
        <v>54.377813108807125</v>
      </c>
      <c r="I25" s="215">
        <f t="shared" si="4"/>
        <v>-514.3299999999999</v>
      </c>
      <c r="J25" s="215">
        <f t="shared" si="5"/>
        <v>48.567</v>
      </c>
      <c r="K25" s="215">
        <v>3116.95</v>
      </c>
      <c r="L25" s="215">
        <f t="shared" si="1"/>
        <v>-2631.2799999999997</v>
      </c>
      <c r="M25" s="257">
        <f t="shared" si="2"/>
        <v>0.155815781453023</v>
      </c>
      <c r="N25" s="214">
        <f>E25-липень!E25</f>
        <v>200</v>
      </c>
      <c r="O25" s="217">
        <f>F25-липень!F25</f>
        <v>6.8700000000000045</v>
      </c>
      <c r="P25" s="218">
        <f t="shared" si="6"/>
        <v>-193.13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103968.92</v>
      </c>
      <c r="F26" s="213">
        <v>92138.69</v>
      </c>
      <c r="G26" s="212">
        <f t="shared" si="0"/>
        <v>-11830.229999999996</v>
      </c>
      <c r="H26" s="214">
        <f t="shared" si="3"/>
        <v>88.6213783888493</v>
      </c>
      <c r="I26" s="215">
        <f t="shared" si="4"/>
        <v>-63260.95999999999</v>
      </c>
      <c r="J26" s="215">
        <f t="shared" si="5"/>
        <v>59.29143984558524</v>
      </c>
      <c r="K26" s="216">
        <v>68008.19</v>
      </c>
      <c r="L26" s="216">
        <f t="shared" si="1"/>
        <v>24130.5</v>
      </c>
      <c r="M26" s="256">
        <f t="shared" si="2"/>
        <v>1.3548175594733516</v>
      </c>
      <c r="N26" s="214">
        <f>E26-липень!E26</f>
        <v>20765</v>
      </c>
      <c r="O26" s="217">
        <f>F26-липень!F26</f>
        <v>530.9000000000087</v>
      </c>
      <c r="P26" s="218">
        <f t="shared" si="6"/>
        <v>-20234.09999999999</v>
      </c>
      <c r="Q26" s="215">
        <f>O26/N26*100</f>
        <v>2.556705995665826</v>
      </c>
      <c r="R26" s="113"/>
      <c r="S26" s="114"/>
      <c r="T26" s="186">
        <f t="shared" si="8"/>
        <v>51430.729999999996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32614.75</v>
      </c>
      <c r="F27" s="203">
        <v>29471.3</v>
      </c>
      <c r="G27" s="241">
        <f t="shared" si="0"/>
        <v>-3143.4500000000007</v>
      </c>
      <c r="H27" s="242">
        <f t="shared" si="3"/>
        <v>90.36187614499575</v>
      </c>
      <c r="I27" s="243">
        <f t="shared" si="4"/>
        <v>-17895.7</v>
      </c>
      <c r="J27" s="243">
        <f t="shared" si="5"/>
        <v>62.21905546055271</v>
      </c>
      <c r="K27" s="261">
        <v>18442.07</v>
      </c>
      <c r="L27" s="261">
        <f t="shared" si="1"/>
        <v>11029.23</v>
      </c>
      <c r="M27" s="263">
        <f t="shared" si="2"/>
        <v>1.5980472907867718</v>
      </c>
      <c r="N27" s="239">
        <f>E27-липень!E27</f>
        <v>8770</v>
      </c>
      <c r="O27" s="239">
        <f>F27-липень!F27</f>
        <v>185.54000000000087</v>
      </c>
      <c r="P27" s="240">
        <f t="shared" si="6"/>
        <v>-8584.46</v>
      </c>
      <c r="Q27" s="240">
        <f>O27/N27*100</f>
        <v>2.1156214367160873</v>
      </c>
      <c r="R27" s="113"/>
      <c r="S27" s="114"/>
      <c r="T27" s="186">
        <f t="shared" si="8"/>
        <v>14752.25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71354.17</v>
      </c>
      <c r="F28" s="203">
        <v>62667.39</v>
      </c>
      <c r="G28" s="241">
        <f t="shared" si="0"/>
        <v>-8686.779999999999</v>
      </c>
      <c r="H28" s="242">
        <f t="shared" si="3"/>
        <v>87.82582713806354</v>
      </c>
      <c r="I28" s="243">
        <f t="shared" si="4"/>
        <v>-45365.259999999995</v>
      </c>
      <c r="J28" s="243">
        <f t="shared" si="5"/>
        <v>58.0078244863937</v>
      </c>
      <c r="K28" s="261">
        <v>49566.12</v>
      </c>
      <c r="L28" s="261">
        <f t="shared" si="1"/>
        <v>13101.269999999997</v>
      </c>
      <c r="M28" s="263">
        <f t="shared" si="2"/>
        <v>1.2643190550319452</v>
      </c>
      <c r="N28" s="239">
        <f>E28-липень!E28</f>
        <v>11995</v>
      </c>
      <c r="O28" s="239">
        <f>F28-липень!F28</f>
        <v>345.3600000000006</v>
      </c>
      <c r="P28" s="240">
        <f t="shared" si="6"/>
        <v>-11649.64</v>
      </c>
      <c r="Q28" s="240">
        <f>O28/N28*100</f>
        <v>2.879199666527725</v>
      </c>
      <c r="R28" s="113"/>
      <c r="S28" s="114"/>
      <c r="T28" s="186">
        <f t="shared" si="8"/>
        <v>36678.479999999996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66.01</v>
      </c>
      <c r="G30" s="190">
        <f t="shared" si="0"/>
        <v>17.700000000000003</v>
      </c>
      <c r="H30" s="197">
        <f t="shared" si="3"/>
        <v>136.63837714758847</v>
      </c>
      <c r="I30" s="198">
        <f t="shared" si="4"/>
        <v>-10.989999999999995</v>
      </c>
      <c r="J30" s="198">
        <f t="shared" si="5"/>
        <v>85.72727272727273</v>
      </c>
      <c r="K30" s="198">
        <v>48.85</v>
      </c>
      <c r="L30" s="198">
        <f t="shared" si="1"/>
        <v>17.160000000000004</v>
      </c>
      <c r="M30" s="255">
        <f>F30/K30</f>
        <v>1.3512794268167863</v>
      </c>
      <c r="N30" s="197">
        <f>E30-липень!E30</f>
        <v>7.400000000000006</v>
      </c>
      <c r="O30" s="200">
        <f>F30-липень!F30</f>
        <v>0.39000000000000057</v>
      </c>
      <c r="P30" s="201">
        <f t="shared" si="6"/>
        <v>-7.010000000000005</v>
      </c>
      <c r="Q30" s="198">
        <f>O30/N30*100</f>
        <v>5.270270270270274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-614.57</v>
      </c>
      <c r="L31" s="198">
        <f t="shared" si="1"/>
        <v>475.84000000000003</v>
      </c>
      <c r="M31" s="255">
        <f>F31/K31</f>
        <v>0.2257350667946694</v>
      </c>
      <c r="N31" s="197">
        <f>E31-липень!E31</f>
        <v>0</v>
      </c>
      <c r="O31" s="200">
        <f>F31-липень!F31</f>
        <v>0</v>
      </c>
      <c r="P31" s="201">
        <f t="shared" si="6"/>
        <v>0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v>98815.84</v>
      </c>
      <c r="F32" s="203">
        <v>91354.93</v>
      </c>
      <c r="G32" s="202">
        <f t="shared" si="0"/>
        <v>-7460.9100000000035</v>
      </c>
      <c r="H32" s="204">
        <f t="shared" si="3"/>
        <v>92.4496821562211</v>
      </c>
      <c r="I32" s="205">
        <f t="shared" si="4"/>
        <v>-26645.070000000007</v>
      </c>
      <c r="J32" s="205">
        <f t="shared" si="5"/>
        <v>77.41943220338983</v>
      </c>
      <c r="K32" s="219">
        <v>67835.01</v>
      </c>
      <c r="L32" s="219">
        <f t="shared" si="1"/>
        <v>23519.92</v>
      </c>
      <c r="M32" s="258">
        <f>F32/L32</f>
        <v>3.8841513916714003</v>
      </c>
      <c r="N32" s="197">
        <f>E32-липень!E32</f>
        <v>18673.800000000003</v>
      </c>
      <c r="O32" s="200">
        <f>F32-липень!F32</f>
        <v>3547.859999999986</v>
      </c>
      <c r="P32" s="207">
        <f t="shared" si="6"/>
        <v>-15125.940000000017</v>
      </c>
      <c r="Q32" s="205">
        <f>O32/N32*100</f>
        <v>18.999132474375784</v>
      </c>
      <c r="R32" s="113"/>
      <c r="S32" s="114"/>
      <c r="T32" s="186">
        <f t="shared" si="8"/>
        <v>19184.160000000003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"/>
        <v>1.42</v>
      </c>
      <c r="M33" s="264">
        <f aca="true" t="shared" si="10" ref="M33:M39">F33/K33</f>
        <v>-0.18333333333333335</v>
      </c>
      <c r="N33" s="111">
        <f>E33-липень!E33</f>
        <v>0</v>
      </c>
      <c r="O33" s="179">
        <f>F33-липень!F33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28217</v>
      </c>
      <c r="E34" s="109">
        <v>24462.97</v>
      </c>
      <c r="F34" s="171">
        <v>23117.32</v>
      </c>
      <c r="G34" s="109">
        <f t="shared" si="0"/>
        <v>-1345.6500000000015</v>
      </c>
      <c r="H34" s="111">
        <f t="shared" si="3"/>
        <v>94.49923701006051</v>
      </c>
      <c r="I34" s="110">
        <f t="shared" si="4"/>
        <v>-5099.68</v>
      </c>
      <c r="J34" s="110">
        <f t="shared" si="5"/>
        <v>81.92692348584187</v>
      </c>
      <c r="K34" s="142">
        <v>16931.33</v>
      </c>
      <c r="L34" s="142">
        <f t="shared" si="1"/>
        <v>6185.989999999998</v>
      </c>
      <c r="M34" s="264">
        <f t="shared" si="10"/>
        <v>1.3653575944713143</v>
      </c>
      <c r="N34" s="111">
        <f>E34-липень!E34</f>
        <v>4767</v>
      </c>
      <c r="O34" s="179">
        <f>F34-липень!F34</f>
        <v>1362.8100000000013</v>
      </c>
      <c r="P34" s="112">
        <f t="shared" si="6"/>
        <v>-3404.1899999999987</v>
      </c>
      <c r="Q34" s="110">
        <f>O34/N34*100</f>
        <v>28.588420390182534</v>
      </c>
      <c r="R34" s="113"/>
      <c r="S34" s="114"/>
      <c r="T34" s="186">
        <f t="shared" si="8"/>
        <v>3754.029999999999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89732</v>
      </c>
      <c r="E35" s="109">
        <v>74336.08</v>
      </c>
      <c r="F35" s="171">
        <v>68216.87</v>
      </c>
      <c r="G35" s="109">
        <f t="shared" si="0"/>
        <v>-6119.210000000006</v>
      </c>
      <c r="H35" s="111">
        <f t="shared" si="3"/>
        <v>91.76818309493855</v>
      </c>
      <c r="I35" s="110">
        <f t="shared" si="4"/>
        <v>-21515.130000000005</v>
      </c>
      <c r="J35" s="110">
        <f t="shared" si="5"/>
        <v>76.02290152899745</v>
      </c>
      <c r="K35" s="142">
        <v>50888.07</v>
      </c>
      <c r="L35" s="142">
        <f t="shared" si="1"/>
        <v>17328.799999999996</v>
      </c>
      <c r="M35" s="264">
        <f t="shared" si="10"/>
        <v>1.3405277504138002</v>
      </c>
      <c r="N35" s="111">
        <f>E35-липень!E35</f>
        <v>13900</v>
      </c>
      <c r="O35" s="179">
        <f>F35-липень!F35</f>
        <v>2185.0499999999884</v>
      </c>
      <c r="P35" s="112">
        <f t="shared" si="6"/>
        <v>-11714.950000000012</v>
      </c>
      <c r="Q35" s="110">
        <f>O35/N35*100</f>
        <v>15.719784172661786</v>
      </c>
      <c r="R35" s="113"/>
      <c r="S35" s="114"/>
      <c r="T35" s="186">
        <f t="shared" si="8"/>
        <v>15395.919999999998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20.52</v>
      </c>
      <c r="G36" s="109">
        <f t="shared" si="0"/>
        <v>3.7300000000000004</v>
      </c>
      <c r="H36" s="111">
        <f t="shared" si="3"/>
        <v>122.21560452650388</v>
      </c>
      <c r="I36" s="110">
        <f t="shared" si="4"/>
        <v>-30.48</v>
      </c>
      <c r="J36" s="110">
        <f t="shared" si="5"/>
        <v>40.23529411764706</v>
      </c>
      <c r="K36" s="142">
        <v>16.81</v>
      </c>
      <c r="L36" s="142">
        <f t="shared" si="1"/>
        <v>3.710000000000001</v>
      </c>
      <c r="M36" s="264">
        <f t="shared" si="10"/>
        <v>1.2207019631171923</v>
      </c>
      <c r="N36" s="111">
        <f>E36-липень!E36</f>
        <v>6.799999999999999</v>
      </c>
      <c r="O36" s="179">
        <f>F36-липень!F36</f>
        <v>0</v>
      </c>
      <c r="P36" s="112">
        <f t="shared" si="6"/>
        <v>-6.799999999999999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38751.03</v>
      </c>
      <c r="F38" s="191">
        <f>F39+F40+F41+F42+F43+F45+F47+F48+F49+F50+F51+F56+F57+F61+F44</f>
        <v>41046.63999999999</v>
      </c>
      <c r="G38" s="191">
        <f>G39+G40+G41+G42+G43+G45+G47+G48+G49+G50+G51+G56+G57+G61</f>
        <v>2275.33</v>
      </c>
      <c r="H38" s="192">
        <f>F38/E38*100</f>
        <v>105.9239973750375</v>
      </c>
      <c r="I38" s="193">
        <f>F38-D38</f>
        <v>-15788.840000000011</v>
      </c>
      <c r="J38" s="193">
        <f>F38/D38*100</f>
        <v>72.22009913525845</v>
      </c>
      <c r="K38" s="191">
        <v>21607.34</v>
      </c>
      <c r="L38" s="191">
        <f t="shared" si="1"/>
        <v>19439.299999999992</v>
      </c>
      <c r="M38" s="250">
        <f t="shared" si="10"/>
        <v>1.8996618741594289</v>
      </c>
      <c r="N38" s="191">
        <f>N39+N40+N41+N42+N43+N45+N47+N48+N49+N50+N51+N56+N57+N61+N44</f>
        <v>13756</v>
      </c>
      <c r="O38" s="191">
        <f>O39+O40+O41+O42+O43+O45+O47+O48+O49+O50+O51+O56+O57+O61+O44</f>
        <v>4260.360000000001</v>
      </c>
      <c r="P38" s="191">
        <f>P39+P40+P41+P42+P43+P45+P47+P48+P49+P50+P51+P56+P57+P61</f>
        <v>-9488.439999999999</v>
      </c>
      <c r="Q38" s="191">
        <f>O38/N38*100</f>
        <v>30.970921779587098</v>
      </c>
      <c r="R38" s="15" t="e">
        <f>#N/A</f>
        <v>#N/A</v>
      </c>
      <c r="S38" s="15" t="e">
        <f>#N/A</f>
        <v>#N/A</v>
      </c>
      <c r="T38" s="186">
        <f t="shared" si="8"/>
        <v>18084.450000000004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299.39</v>
      </c>
      <c r="G39" s="202">
        <f>F39-E39</f>
        <v>-80.61000000000001</v>
      </c>
      <c r="H39" s="204">
        <f aca="true" t="shared" si="11" ref="H39:H62">F39/E39*100</f>
        <v>78.78684210526316</v>
      </c>
      <c r="I39" s="205">
        <f>F39-D39</f>
        <v>-100.61000000000001</v>
      </c>
      <c r="J39" s="205">
        <f>F39/D39*100</f>
        <v>74.8475</v>
      </c>
      <c r="K39" s="205">
        <v>-60.36</v>
      </c>
      <c r="L39" s="205">
        <f t="shared" si="1"/>
        <v>359.75</v>
      </c>
      <c r="M39" s="266">
        <f t="shared" si="10"/>
        <v>-4.9600728959575875</v>
      </c>
      <c r="N39" s="204">
        <f>E39-липень!E39</f>
        <v>310</v>
      </c>
      <c r="O39" s="208">
        <f>F39-липень!F39</f>
        <v>58</v>
      </c>
      <c r="P39" s="207">
        <f>O39-N39</f>
        <v>-252</v>
      </c>
      <c r="Q39" s="205">
        <f aca="true" t="shared" si="12" ref="Q39:Q62">O39/N39*100</f>
        <v>18.70967741935484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v>17767</v>
      </c>
      <c r="F40" s="196">
        <v>20560.18</v>
      </c>
      <c r="G40" s="202">
        <f aca="true" t="shared" si="13" ref="G40:G63">F40-E40</f>
        <v>2793.1800000000003</v>
      </c>
      <c r="H40" s="204">
        <f t="shared" si="11"/>
        <v>115.7211684583779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10230</v>
      </c>
      <c r="O40" s="208">
        <f>F40-липень!F40</f>
        <v>3289.16</v>
      </c>
      <c r="P40" s="207">
        <f aca="true" t="shared" si="15" ref="P40:P63">O40-N40</f>
        <v>-6940.84</v>
      </c>
      <c r="Q40" s="205">
        <f t="shared" si="12"/>
        <v>32.15210166177908</v>
      </c>
      <c r="R40" s="42"/>
      <c r="S40" s="100"/>
      <c r="T40" s="186">
        <f t="shared" si="8"/>
        <v>7233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189.12</v>
      </c>
      <c r="G43" s="202">
        <f t="shared" si="13"/>
        <v>109.12</v>
      </c>
      <c r="H43" s="204">
        <f t="shared" si="11"/>
        <v>236.39999999999998</v>
      </c>
      <c r="I43" s="205">
        <f t="shared" si="14"/>
        <v>39.120000000000005</v>
      </c>
      <c r="J43" s="205">
        <f t="shared" si="16"/>
        <v>126.08</v>
      </c>
      <c r="K43" s="205">
        <v>104.06</v>
      </c>
      <c r="L43" s="205">
        <f t="shared" si="1"/>
        <v>85.06</v>
      </c>
      <c r="M43" s="266">
        <f t="shared" si="17"/>
        <v>1.8174130309436864</v>
      </c>
      <c r="N43" s="204">
        <f>E43-липень!E43</f>
        <v>10</v>
      </c>
      <c r="O43" s="208">
        <f>F43-липень!F43</f>
        <v>1.1599999999999966</v>
      </c>
      <c r="P43" s="207">
        <f t="shared" si="15"/>
        <v>-8.840000000000003</v>
      </c>
      <c r="Q43" s="205">
        <f t="shared" si="12"/>
        <v>11.599999999999966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34.28</v>
      </c>
      <c r="G44" s="202">
        <f t="shared" si="13"/>
        <v>20.28</v>
      </c>
      <c r="H44" s="204"/>
      <c r="I44" s="205">
        <f t="shared" si="14"/>
        <v>20.28</v>
      </c>
      <c r="J44" s="205"/>
      <c r="K44" s="205">
        <v>3.5</v>
      </c>
      <c r="L44" s="205">
        <f t="shared" si="1"/>
        <v>30.78</v>
      </c>
      <c r="M44" s="266">
        <f t="shared" si="17"/>
        <v>9.794285714285715</v>
      </c>
      <c r="N44" s="204">
        <f>E44-липень!E44</f>
        <v>14</v>
      </c>
      <c r="O44" s="208">
        <f>F44-липень!F44</f>
        <v>6.800000000000001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261.78</v>
      </c>
      <c r="G45" s="202">
        <f t="shared" si="13"/>
        <v>5.779999999999973</v>
      </c>
      <c r="H45" s="204">
        <f t="shared" si="11"/>
        <v>102.25781249999999</v>
      </c>
      <c r="I45" s="205">
        <f t="shared" si="14"/>
        <v>-38.22000000000003</v>
      </c>
      <c r="J45" s="205">
        <f t="shared" si="16"/>
        <v>87.25999999999999</v>
      </c>
      <c r="K45" s="205">
        <v>0</v>
      </c>
      <c r="L45" s="205">
        <f t="shared" si="1"/>
        <v>261.78</v>
      </c>
      <c r="M45" s="266"/>
      <c r="N45" s="204">
        <f>E45-липень!E45</f>
        <v>208</v>
      </c>
      <c r="O45" s="208">
        <f>F45-липень!F45</f>
        <v>13.409999999999968</v>
      </c>
      <c r="P45" s="207">
        <f t="shared" si="15"/>
        <v>-194.59000000000003</v>
      </c>
      <c r="Q45" s="205">
        <f t="shared" si="12"/>
        <v>6.447115384615369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6139.02</v>
      </c>
      <c r="F47" s="196">
        <v>6246.51</v>
      </c>
      <c r="G47" s="202">
        <f t="shared" si="13"/>
        <v>107.48999999999978</v>
      </c>
      <c r="H47" s="204">
        <f t="shared" si="11"/>
        <v>101.75093093034393</v>
      </c>
      <c r="I47" s="205">
        <f t="shared" si="14"/>
        <v>-3653.49</v>
      </c>
      <c r="J47" s="205">
        <f t="shared" si="16"/>
        <v>63.09606060606061</v>
      </c>
      <c r="K47" s="205">
        <v>6772.05</v>
      </c>
      <c r="L47" s="205">
        <f t="shared" si="1"/>
        <v>-525.54</v>
      </c>
      <c r="M47" s="266">
        <f t="shared" si="17"/>
        <v>0.9223957295058365</v>
      </c>
      <c r="N47" s="204">
        <f>E47-липень!E47</f>
        <v>800</v>
      </c>
      <c r="O47" s="208">
        <f>F47-липень!F47</f>
        <v>155.8800000000001</v>
      </c>
      <c r="P47" s="207">
        <f t="shared" si="15"/>
        <v>-644.1199999999999</v>
      </c>
      <c r="Q47" s="205">
        <f t="shared" si="12"/>
        <v>19.485000000000014</v>
      </c>
      <c r="R47" s="42"/>
      <c r="S47" s="100"/>
      <c r="T47" s="186">
        <f t="shared" si="8"/>
        <v>3760.9799999999996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124.82</v>
      </c>
      <c r="G48" s="202">
        <f t="shared" si="13"/>
        <v>-525.1800000000001</v>
      </c>
      <c r="H48" s="204">
        <f t="shared" si="11"/>
        <v>19.20307692307692</v>
      </c>
      <c r="I48" s="205">
        <f t="shared" si="14"/>
        <v>-525.1800000000001</v>
      </c>
      <c r="J48" s="205">
        <f t="shared" si="16"/>
        <v>19.20307692307692</v>
      </c>
      <c r="K48" s="205">
        <v>0</v>
      </c>
      <c r="L48" s="205">
        <f t="shared" si="1"/>
        <v>124.82</v>
      </c>
      <c r="M48" s="266"/>
      <c r="N48" s="204">
        <f>E48-липень!E48</f>
        <v>0</v>
      </c>
      <c r="O48" s="208">
        <f>F48-липень!F48</f>
        <v>7.429999999999993</v>
      </c>
      <c r="P48" s="207">
        <f t="shared" si="15"/>
        <v>7.429999999999993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8.54</v>
      </c>
      <c r="G49" s="202">
        <f t="shared" si="13"/>
        <v>-19.46</v>
      </c>
      <c r="H49" s="204">
        <f t="shared" si="11"/>
        <v>30.5</v>
      </c>
      <c r="I49" s="205">
        <f t="shared" si="14"/>
        <v>-41.46</v>
      </c>
      <c r="J49" s="205">
        <f t="shared" si="16"/>
        <v>17.08</v>
      </c>
      <c r="K49" s="205">
        <v>0</v>
      </c>
      <c r="L49" s="205">
        <f t="shared" si="1"/>
        <v>8.54</v>
      </c>
      <c r="M49" s="266"/>
      <c r="N49" s="204">
        <f>E49-липень!E49</f>
        <v>4</v>
      </c>
      <c r="O49" s="208">
        <f>F49-липень!F49</f>
        <v>0</v>
      </c>
      <c r="P49" s="207">
        <f t="shared" si="15"/>
        <v>-4</v>
      </c>
      <c r="Q49" s="205">
        <f t="shared" si="12"/>
        <v>0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3835.21</v>
      </c>
      <c r="G51" s="202">
        <f t="shared" si="13"/>
        <v>-555.9799999999996</v>
      </c>
      <c r="H51" s="204">
        <f t="shared" si="11"/>
        <v>87.33873961272458</v>
      </c>
      <c r="I51" s="205">
        <f t="shared" si="14"/>
        <v>-3164.83</v>
      </c>
      <c r="J51" s="205">
        <f t="shared" si="16"/>
        <v>54.78840120913595</v>
      </c>
      <c r="K51" s="205">
        <v>5221.43</v>
      </c>
      <c r="L51" s="205">
        <f t="shared" si="1"/>
        <v>-1386.2200000000003</v>
      </c>
      <c r="M51" s="266">
        <f t="shared" si="17"/>
        <v>0.7345133421304125</v>
      </c>
      <c r="N51" s="204">
        <f>E51-липень!E51</f>
        <v>519.9999999999995</v>
      </c>
      <c r="O51" s="208">
        <f>F51-липень!F51</f>
        <v>110.42000000000007</v>
      </c>
      <c r="P51" s="207">
        <f t="shared" si="15"/>
        <v>-409.5799999999995</v>
      </c>
      <c r="Q51" s="205">
        <f t="shared" si="12"/>
        <v>21.234615384615417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515.07</v>
      </c>
      <c r="G52" s="36">
        <f t="shared" si="13"/>
        <v>-148.91999999999996</v>
      </c>
      <c r="H52" s="32">
        <f t="shared" si="11"/>
        <v>77.57195138481002</v>
      </c>
      <c r="I52" s="110">
        <f t="shared" si="14"/>
        <v>-454.92999999999995</v>
      </c>
      <c r="J52" s="110">
        <f t="shared" si="16"/>
        <v>53.1</v>
      </c>
      <c r="K52" s="110">
        <v>735.13</v>
      </c>
      <c r="L52" s="110">
        <f>F52-K52</f>
        <v>-220.05999999999995</v>
      </c>
      <c r="M52" s="115">
        <f t="shared" si="17"/>
        <v>0.700651585433869</v>
      </c>
      <c r="N52" s="111">
        <f>E52-липень!E52</f>
        <v>20</v>
      </c>
      <c r="O52" s="179">
        <f>F52-липень!F52</f>
        <v>10.930000000000064</v>
      </c>
      <c r="P52" s="112">
        <f t="shared" si="15"/>
        <v>-9.069999999999936</v>
      </c>
      <c r="Q52" s="132">
        <f t="shared" si="12"/>
        <v>54.65000000000032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3319.86</v>
      </c>
      <c r="G55" s="36">
        <f t="shared" si="13"/>
        <v>-402.30999999999995</v>
      </c>
      <c r="H55" s="32">
        <f t="shared" si="11"/>
        <v>89.19152000042986</v>
      </c>
      <c r="I55" s="110">
        <f t="shared" si="14"/>
        <v>-2704.14</v>
      </c>
      <c r="J55" s="110">
        <f t="shared" si="16"/>
        <v>55.11055776892431</v>
      </c>
      <c r="K55" s="110">
        <v>4440.11</v>
      </c>
      <c r="L55" s="110">
        <f>F55-K55</f>
        <v>-1120.2499999999995</v>
      </c>
      <c r="M55" s="115">
        <f t="shared" si="17"/>
        <v>0.747697692174293</v>
      </c>
      <c r="N55" s="111">
        <f>E55-липень!E55</f>
        <v>500</v>
      </c>
      <c r="O55" s="179">
        <f>F55-липень!F55</f>
        <v>99.48000000000002</v>
      </c>
      <c r="P55" s="112">
        <f t="shared" si="15"/>
        <v>-400.52</v>
      </c>
      <c r="Q55" s="132">
        <f t="shared" si="12"/>
        <v>19.896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3567.98</v>
      </c>
      <c r="F57" s="196">
        <v>4309.81</v>
      </c>
      <c r="G57" s="202">
        <f t="shared" si="13"/>
        <v>741.8300000000004</v>
      </c>
      <c r="H57" s="204">
        <f t="shared" si="11"/>
        <v>120.79131609482117</v>
      </c>
      <c r="I57" s="205">
        <f t="shared" si="14"/>
        <v>-840.1899999999996</v>
      </c>
      <c r="J57" s="205">
        <f t="shared" si="16"/>
        <v>83.68563106796117</v>
      </c>
      <c r="K57" s="205">
        <v>3192.65</v>
      </c>
      <c r="L57" s="205">
        <f aca="true" t="shared" si="18" ref="L57:L63">F57-K57</f>
        <v>1117.1600000000003</v>
      </c>
      <c r="M57" s="266">
        <f t="shared" si="17"/>
        <v>1.3499162138035803</v>
      </c>
      <c r="N57" s="204">
        <f>E57-липень!E57</f>
        <v>930</v>
      </c>
      <c r="O57" s="208">
        <f>F57-липень!F57</f>
        <v>47.910000000000764</v>
      </c>
      <c r="P57" s="207">
        <f t="shared" si="15"/>
        <v>-882.0899999999992</v>
      </c>
      <c r="Q57" s="205">
        <f t="shared" si="12"/>
        <v>5.151612903225889</v>
      </c>
      <c r="R57" s="42"/>
      <c r="S57" s="100"/>
      <c r="T57" s="186">
        <f t="shared" si="8"/>
        <v>1582.02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768.84</v>
      </c>
      <c r="G59" s="202"/>
      <c r="H59" s="204"/>
      <c r="I59" s="205"/>
      <c r="J59" s="205"/>
      <c r="K59" s="206">
        <v>890.52</v>
      </c>
      <c r="L59" s="205">
        <f t="shared" si="18"/>
        <v>-121.67999999999995</v>
      </c>
      <c r="M59" s="266">
        <f t="shared" si="17"/>
        <v>0.8633607330548444</v>
      </c>
      <c r="N59" s="236"/>
      <c r="O59" s="220">
        <f>F59-липень!F59</f>
        <v>35.00999999999999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78.18</v>
      </c>
      <c r="G61" s="202">
        <f t="shared" si="13"/>
        <v>-21.819999999999993</v>
      </c>
      <c r="H61" s="204">
        <f t="shared" si="11"/>
        <v>78.18</v>
      </c>
      <c r="I61" s="205">
        <f t="shared" si="14"/>
        <v>-21.819999999999993</v>
      </c>
      <c r="J61" s="205">
        <f t="shared" si="16"/>
        <v>78.18</v>
      </c>
      <c r="K61" s="205">
        <v>0.6</v>
      </c>
      <c r="L61" s="205">
        <f t="shared" si="18"/>
        <v>77.58000000000001</v>
      </c>
      <c r="M61" s="266">
        <f t="shared" si="17"/>
        <v>130.3</v>
      </c>
      <c r="N61" s="204">
        <f>E61-липень!E61</f>
        <v>80</v>
      </c>
      <c r="O61" s="208">
        <f>F61-липень!F61</f>
        <v>0</v>
      </c>
      <c r="P61" s="207">
        <f t="shared" si="15"/>
        <v>-80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655296.01</v>
      </c>
      <c r="F64" s="191">
        <f>F8+F38+F62+F63</f>
        <v>593998.05</v>
      </c>
      <c r="G64" s="191">
        <f>F64-E64</f>
        <v>-61297.95999999996</v>
      </c>
      <c r="H64" s="192">
        <f>F64/E64*100</f>
        <v>90.64576022674089</v>
      </c>
      <c r="I64" s="193">
        <f>F64-D64</f>
        <v>-396939.68000000005</v>
      </c>
      <c r="J64" s="193">
        <f>F64/D64*100</f>
        <v>59.94302487604342</v>
      </c>
      <c r="K64" s="193">
        <v>451134.19</v>
      </c>
      <c r="L64" s="193">
        <f>F64-K64</f>
        <v>142863.86000000004</v>
      </c>
      <c r="M64" s="267">
        <f>F64/K64</f>
        <v>1.316677084483444</v>
      </c>
      <c r="N64" s="191">
        <f>N8+N38+N62+N63</f>
        <v>131335.19999999995</v>
      </c>
      <c r="O64" s="191">
        <f>O8+O38+O62+O63</f>
        <v>13390.269999999962</v>
      </c>
      <c r="P64" s="195">
        <f>O64-N64</f>
        <v>-117944.93</v>
      </c>
      <c r="Q64" s="193">
        <f>O64/N64*100</f>
        <v>10.19549214528928</v>
      </c>
      <c r="R64" s="28">
        <f>O64-34768</f>
        <v>-21377.73000000004</v>
      </c>
      <c r="S64" s="128">
        <f>O64/34768</f>
        <v>0.3851320179475369</v>
      </c>
      <c r="T64" s="186">
        <f t="shared" si="8"/>
        <v>335641.7200000001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F70-липень!F70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1535.07</v>
      </c>
      <c r="G73" s="202">
        <f aca="true" t="shared" si="19" ref="G73:G83">F73-E73</f>
        <v>-664.9300000000001</v>
      </c>
      <c r="H73" s="204"/>
      <c r="I73" s="207">
        <f aca="true" t="shared" si="20" ref="I73:I83">F73-D73</f>
        <v>-2664.9300000000003</v>
      </c>
      <c r="J73" s="207">
        <f>F73/D73*100</f>
        <v>36.54928571428571</v>
      </c>
      <c r="K73" s="207">
        <v>593.02</v>
      </c>
      <c r="L73" s="207">
        <f aca="true" t="shared" si="21" ref="L73:L83">F73-K73</f>
        <v>942.05</v>
      </c>
      <c r="M73" s="254">
        <f>F73/K73</f>
        <v>2.5885636234865603</v>
      </c>
      <c r="N73" s="204">
        <f>E73-липень!E73</f>
        <v>400</v>
      </c>
      <c r="O73" s="208">
        <f>F73-липень!F73</f>
        <v>0.009999999999990905</v>
      </c>
      <c r="P73" s="207">
        <f aca="true" t="shared" si="22" ref="P73:P86">O73-N73</f>
        <v>-399.99</v>
      </c>
      <c r="Q73" s="207">
        <f>O73/N73*100</f>
        <v>0.0024999999999977263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6751.5</v>
      </c>
      <c r="G74" s="202">
        <f t="shared" si="19"/>
        <v>2874.29</v>
      </c>
      <c r="H74" s="204">
        <f>F74/E74*100</f>
        <v>174.13294611331344</v>
      </c>
      <c r="I74" s="207">
        <f t="shared" si="20"/>
        <v>-707.5</v>
      </c>
      <c r="J74" s="207">
        <f>F74/D74*100</f>
        <v>90.51481431827322</v>
      </c>
      <c r="K74" s="207">
        <v>3758.64</v>
      </c>
      <c r="L74" s="207">
        <f t="shared" si="21"/>
        <v>2992.86</v>
      </c>
      <c r="M74" s="254">
        <f>F74/K74</f>
        <v>1.7962614137028288</v>
      </c>
      <c r="N74" s="204">
        <f>E74-липень!E74</f>
        <v>549.9000000000001</v>
      </c>
      <c r="O74" s="208">
        <f>F74-липень!F74</f>
        <v>0</v>
      </c>
      <c r="P74" s="207">
        <f t="shared" si="22"/>
        <v>-549.9000000000001</v>
      </c>
      <c r="Q74" s="207">
        <f>O74/N74*100</f>
        <v>0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9561.64</v>
      </c>
      <c r="G75" s="202">
        <f t="shared" si="19"/>
        <v>7164.789999999999</v>
      </c>
      <c r="H75" s="204">
        <f>F75/E75*100</f>
        <v>398.9252560652523</v>
      </c>
      <c r="I75" s="207">
        <f t="shared" si="20"/>
        <v>3561.6399999999994</v>
      </c>
      <c r="J75" s="207">
        <f>F75/D75*100</f>
        <v>159.36066666666667</v>
      </c>
      <c r="K75" s="207">
        <v>1838.64</v>
      </c>
      <c r="L75" s="207">
        <f t="shared" si="21"/>
        <v>7722.999999999999</v>
      </c>
      <c r="M75" s="254">
        <f>F75/K75</f>
        <v>5.200387242744637</v>
      </c>
      <c r="N75" s="204">
        <f>E75-липень!E75</f>
        <v>302</v>
      </c>
      <c r="O75" s="208">
        <f>F75-липень!F75</f>
        <v>51.94999999999891</v>
      </c>
      <c r="P75" s="207">
        <f t="shared" si="22"/>
        <v>-250.0500000000011</v>
      </c>
      <c r="Q75" s="207">
        <f>O75/N75*100</f>
        <v>17.201986754966526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17854.21</v>
      </c>
      <c r="G77" s="226">
        <f t="shared" si="19"/>
        <v>9372.15</v>
      </c>
      <c r="H77" s="227">
        <f>F77/E77*100</f>
        <v>210.49379513938834</v>
      </c>
      <c r="I77" s="228">
        <f t="shared" si="20"/>
        <v>183.20999999999913</v>
      </c>
      <c r="J77" s="228">
        <f>F77/D77*100</f>
        <v>101.0367834304793</v>
      </c>
      <c r="K77" s="228">
        <v>5991.37</v>
      </c>
      <c r="L77" s="228">
        <f t="shared" si="21"/>
        <v>11862.84</v>
      </c>
      <c r="M77" s="260">
        <f>F77/K77</f>
        <v>2.979987882571098</v>
      </c>
      <c r="N77" s="226">
        <f>N73+N74+N75+N76</f>
        <v>1252.9</v>
      </c>
      <c r="O77" s="230">
        <f>O73+O74+O75+O76</f>
        <v>51.9599999999989</v>
      </c>
      <c r="P77" s="228">
        <f t="shared" si="22"/>
        <v>-1200.9400000000012</v>
      </c>
      <c r="Q77" s="228">
        <f>O77/N77*100</f>
        <v>4.147178545773716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f>F79-0</f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4904.83</v>
      </c>
      <c r="G80" s="202">
        <f t="shared" si="19"/>
        <v>-2718.7700000000004</v>
      </c>
      <c r="H80" s="204">
        <f>F80/E80*100</f>
        <v>64.3374521223569</v>
      </c>
      <c r="I80" s="207">
        <f t="shared" si="20"/>
        <v>-4595.17</v>
      </c>
      <c r="J80" s="207">
        <f>F80/D80*100</f>
        <v>51.629789473684205</v>
      </c>
      <c r="K80" s="207">
        <v>0</v>
      </c>
      <c r="L80" s="207">
        <f t="shared" si="21"/>
        <v>4904.83</v>
      </c>
      <c r="M80" s="254"/>
      <c r="N80" s="204">
        <f>E80-липень!E80</f>
        <v>2496.3</v>
      </c>
      <c r="O80" s="208">
        <f>F80-липень!F80</f>
        <v>2.4899999999997817</v>
      </c>
      <c r="P80" s="207">
        <f>O80-N80</f>
        <v>-2493.8100000000004</v>
      </c>
      <c r="Q80" s="231">
        <f>O80/N80*100</f>
        <v>0.09974762648719229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19"/>
        <v>0.92</v>
      </c>
      <c r="H81" s="204"/>
      <c r="I81" s="207">
        <f t="shared" si="20"/>
        <v>0.92</v>
      </c>
      <c r="J81" s="207"/>
      <c r="K81" s="207">
        <v>0.88</v>
      </c>
      <c r="L81" s="207">
        <f t="shared" si="21"/>
        <v>0.040000000000000036</v>
      </c>
      <c r="M81" s="254">
        <f>F81/K81</f>
        <v>1.0454545454545454</v>
      </c>
      <c r="N81" s="204">
        <f>E81-липень!E81</f>
        <v>0</v>
      </c>
      <c r="O81" s="208">
        <f>F81-липень!F81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4911.42</v>
      </c>
      <c r="G82" s="224">
        <f>G78+G81+G79+G80</f>
        <v>-2712.1800000000003</v>
      </c>
      <c r="H82" s="227">
        <f>F82/E82*100</f>
        <v>64.42389422320164</v>
      </c>
      <c r="I82" s="228">
        <f t="shared" si="20"/>
        <v>-4589.58</v>
      </c>
      <c r="J82" s="228">
        <f>F82/D82*100</f>
        <v>51.693716450899906</v>
      </c>
      <c r="K82" s="228">
        <v>0.83</v>
      </c>
      <c r="L82" s="228">
        <f t="shared" si="21"/>
        <v>4910.59</v>
      </c>
      <c r="M82" s="268">
        <f>F82/K82</f>
        <v>5917.373493975904</v>
      </c>
      <c r="N82" s="226">
        <f>N78+N81+N79+N80</f>
        <v>2496.3</v>
      </c>
      <c r="O82" s="230">
        <f>O78+O81+O79+O80</f>
        <v>2.9499999999997817</v>
      </c>
      <c r="P82" s="226">
        <f>P78+P81+P79+P80</f>
        <v>-2493.3500000000004</v>
      </c>
      <c r="Q82" s="228">
        <f>O82/N82*100</f>
        <v>0.11817489885028967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18.76</v>
      </c>
      <c r="G83" s="202">
        <f t="shared" si="19"/>
        <v>-2.039999999999999</v>
      </c>
      <c r="H83" s="204">
        <f>F83/E83*100</f>
        <v>90.1923076923077</v>
      </c>
      <c r="I83" s="207">
        <f t="shared" si="20"/>
        <v>-24.24</v>
      </c>
      <c r="J83" s="207">
        <f>F83/D83*100</f>
        <v>43.62790697674419</v>
      </c>
      <c r="K83" s="207">
        <v>21.06</v>
      </c>
      <c r="L83" s="207">
        <f t="shared" si="21"/>
        <v>-2.299999999999997</v>
      </c>
      <c r="M83" s="254">
        <f>F83/K83</f>
        <v>0.8907882241215576</v>
      </c>
      <c r="N83" s="204">
        <f>E83-липень!E83</f>
        <v>0.5</v>
      </c>
      <c r="O83" s="208">
        <f>F83-липень!F83</f>
        <v>0</v>
      </c>
      <c r="P83" s="207">
        <f t="shared" si="22"/>
        <v>-0.5</v>
      </c>
      <c r="Q83" s="207">
        <f>O83/N83</f>
        <v>0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22782.1</v>
      </c>
      <c r="G85" s="233">
        <f>F85-E85</f>
        <v>6655.639999999999</v>
      </c>
      <c r="H85" s="234">
        <f>F85/E85*100</f>
        <v>141.2715499867919</v>
      </c>
      <c r="I85" s="235">
        <f>F85-D85</f>
        <v>-4432.9000000000015</v>
      </c>
      <c r="J85" s="235">
        <f>F85/D85*100</f>
        <v>83.71155612713576</v>
      </c>
      <c r="K85" s="235">
        <v>6163.42</v>
      </c>
      <c r="L85" s="235">
        <f>F85-K85</f>
        <v>16618.68</v>
      </c>
      <c r="M85" s="269">
        <f>F85/K85</f>
        <v>3.6963406680057496</v>
      </c>
      <c r="N85" s="232">
        <f>N71+N83+N77+N82</f>
        <v>3749.7000000000003</v>
      </c>
      <c r="O85" s="232">
        <f>O71+O83+O77+O82+O84</f>
        <v>54.90999999999868</v>
      </c>
      <c r="P85" s="235">
        <f t="shared" si="22"/>
        <v>-3694.790000000002</v>
      </c>
      <c r="Q85" s="235">
        <f>O85/N85*100</f>
        <v>1.4643838173720212</v>
      </c>
      <c r="R85" s="28">
        <f>O85-8104.96</f>
        <v>-8050.050000000001</v>
      </c>
      <c r="S85" s="101">
        <f>O85/8104.96</f>
        <v>0.006774863787112914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671422.47</v>
      </c>
      <c r="F86" s="232">
        <f>F64+F85</f>
        <v>616780.15</v>
      </c>
      <c r="G86" s="233">
        <f>F86-E86</f>
        <v>-54642.31999999995</v>
      </c>
      <c r="H86" s="234">
        <f>F86/E86*100</f>
        <v>91.86170817309704</v>
      </c>
      <c r="I86" s="235">
        <f>F86-D86</f>
        <v>-401372.5800000001</v>
      </c>
      <c r="J86" s="235">
        <f>F86/D86*100</f>
        <v>60.57835252280863</v>
      </c>
      <c r="K86" s="235">
        <f>K64+K85</f>
        <v>457297.61</v>
      </c>
      <c r="L86" s="235">
        <f>F86-K86</f>
        <v>159482.54000000004</v>
      </c>
      <c r="M86" s="269">
        <f>F86/K86</f>
        <v>1.348749996747195</v>
      </c>
      <c r="N86" s="233">
        <f>N64+N85</f>
        <v>135084.89999999997</v>
      </c>
      <c r="O86" s="233">
        <f>O64+O85</f>
        <v>13445.17999999996</v>
      </c>
      <c r="P86" s="235">
        <f t="shared" si="22"/>
        <v>-121639.72</v>
      </c>
      <c r="Q86" s="235">
        <f>O86/N86*100</f>
        <v>9.953133177727462</v>
      </c>
      <c r="R86" s="28">
        <f>O86-42872.96</f>
        <v>-29427.78000000004</v>
      </c>
      <c r="S86" s="101">
        <f>O86/42872.96</f>
        <v>0.31360512546835956</v>
      </c>
      <c r="T86" s="186">
        <f t="shared" si="23"/>
        <v>346730.2600000001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18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6552.496111111111</v>
      </c>
      <c r="D89" s="4" t="s">
        <v>24</v>
      </c>
      <c r="G89" s="427"/>
      <c r="H89" s="427"/>
      <c r="I89" s="427"/>
      <c r="J89" s="427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42586</v>
      </c>
      <c r="D90" s="31">
        <v>4150.3</v>
      </c>
      <c r="G90" s="4" t="s">
        <v>59</v>
      </c>
      <c r="O90" s="419"/>
      <c r="P90" s="419"/>
      <c r="T90" s="186">
        <f t="shared" si="23"/>
        <v>4150.3</v>
      </c>
    </row>
    <row r="91" spans="3:16" ht="15">
      <c r="C91" s="87">
        <v>42585</v>
      </c>
      <c r="D91" s="31">
        <v>1511</v>
      </c>
      <c r="F91" s="124" t="s">
        <v>59</v>
      </c>
      <c r="G91" s="413"/>
      <c r="H91" s="413"/>
      <c r="I91" s="131"/>
      <c r="J91" s="416"/>
      <c r="K91" s="416"/>
      <c r="L91" s="416"/>
      <c r="M91" s="416"/>
      <c r="N91" s="416"/>
      <c r="O91" s="419"/>
      <c r="P91" s="419"/>
    </row>
    <row r="92" spans="3:16" ht="15.75" customHeight="1">
      <c r="C92" s="87">
        <v>42584</v>
      </c>
      <c r="D92" s="31">
        <v>3054.4</v>
      </c>
      <c r="F92" s="73"/>
      <c r="G92" s="413"/>
      <c r="H92" s="413"/>
      <c r="I92" s="131"/>
      <c r="J92" s="420"/>
      <c r="K92" s="420"/>
      <c r="L92" s="420"/>
      <c r="M92" s="420"/>
      <c r="N92" s="420"/>
      <c r="O92" s="419"/>
      <c r="P92" s="419"/>
    </row>
    <row r="93" spans="3:14" ht="15.75" customHeight="1">
      <c r="C93" s="87"/>
      <c r="F93" s="73"/>
      <c r="G93" s="415"/>
      <c r="H93" s="415"/>
      <c r="I93" s="139"/>
      <c r="J93" s="416"/>
      <c r="K93" s="416"/>
      <c r="L93" s="416"/>
      <c r="M93" s="416"/>
      <c r="N93" s="416"/>
    </row>
    <row r="94" spans="2:14" ht="18.75" customHeight="1">
      <c r="B94" s="417" t="s">
        <v>57</v>
      </c>
      <c r="C94" s="418"/>
      <c r="D94" s="148">
        <v>0.25272</v>
      </c>
      <c r="E94" s="74"/>
      <c r="F94" s="140" t="s">
        <v>137</v>
      </c>
      <c r="G94" s="413"/>
      <c r="H94" s="413"/>
      <c r="I94" s="141"/>
      <c r="J94" s="416"/>
      <c r="K94" s="416"/>
      <c r="L94" s="416"/>
      <c r="M94" s="416"/>
      <c r="N94" s="416"/>
    </row>
    <row r="95" spans="6:13" ht="9.75" customHeight="1">
      <c r="F95" s="73"/>
      <c r="G95" s="413"/>
      <c r="H95" s="413"/>
      <c r="I95" s="73"/>
      <c r="J95" s="74"/>
      <c r="K95" s="74"/>
      <c r="L95" s="74"/>
      <c r="M95" s="74"/>
    </row>
    <row r="96" spans="2:13" ht="22.5" customHeight="1" hidden="1">
      <c r="B96" s="411" t="s">
        <v>60</v>
      </c>
      <c r="C96" s="412"/>
      <c r="D96" s="86">
        <v>0</v>
      </c>
      <c r="E96" s="56" t="s">
        <v>24</v>
      </c>
      <c r="F96" s="73"/>
      <c r="G96" s="413"/>
      <c r="H96" s="413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934</v>
      </c>
      <c r="F97" s="247">
        <f>F45+F48+F49</f>
        <v>395.14</v>
      </c>
      <c r="G97" s="73">
        <f>G45+G48+G49</f>
        <v>-538.8600000000001</v>
      </c>
      <c r="H97" s="74"/>
      <c r="I97" s="74"/>
      <c r="N97" s="31">
        <f>N45+N48+N49</f>
        <v>212</v>
      </c>
      <c r="O97" s="246">
        <f>O45+O48+O49</f>
        <v>20.83999999999996</v>
      </c>
      <c r="P97" s="31">
        <f>P45+P48+P49</f>
        <v>-191.16000000000003</v>
      </c>
    </row>
    <row r="98" spans="4:16" ht="15">
      <c r="D98" s="83"/>
      <c r="I98" s="31"/>
      <c r="O98" s="414"/>
      <c r="P98" s="414"/>
    </row>
    <row r="99" spans="15:16" ht="15">
      <c r="O99" s="413"/>
      <c r="P99" s="413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5748031496062992" right="0.15748031496062992" top="0" bottom="0" header="0" footer="0"/>
  <pageSetup fitToHeight="2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02" sqref="B10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4" t="s">
        <v>188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92"/>
      <c r="S1" s="93"/>
    </row>
    <row r="2" spans="2:19" s="1" customFormat="1" ht="15.75" customHeight="1">
      <c r="B2" s="435"/>
      <c r="C2" s="435"/>
      <c r="D2" s="435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89"/>
      <c r="N3" s="444" t="s">
        <v>183</v>
      </c>
      <c r="O3" s="445" t="s">
        <v>184</v>
      </c>
      <c r="P3" s="445"/>
      <c r="Q3" s="445"/>
      <c r="R3" s="445"/>
      <c r="S3" s="445"/>
    </row>
    <row r="4" spans="1:19" ht="22.5" customHeight="1">
      <c r="A4" s="436"/>
      <c r="B4" s="438"/>
      <c r="C4" s="439"/>
      <c r="D4" s="440"/>
      <c r="E4" s="446" t="s">
        <v>179</v>
      </c>
      <c r="F4" s="428" t="s">
        <v>34</v>
      </c>
      <c r="G4" s="421" t="s">
        <v>180</v>
      </c>
      <c r="H4" s="430" t="s">
        <v>181</v>
      </c>
      <c r="I4" s="421" t="s">
        <v>122</v>
      </c>
      <c r="J4" s="430" t="s">
        <v>123</v>
      </c>
      <c r="K4" s="91" t="s">
        <v>186</v>
      </c>
      <c r="L4" s="249" t="s">
        <v>185</v>
      </c>
      <c r="M4" s="96" t="s">
        <v>64</v>
      </c>
      <c r="N4" s="430"/>
      <c r="O4" s="432" t="s">
        <v>189</v>
      </c>
      <c r="P4" s="421" t="s">
        <v>50</v>
      </c>
      <c r="Q4" s="423" t="s">
        <v>49</v>
      </c>
      <c r="R4" s="97" t="s">
        <v>65</v>
      </c>
      <c r="S4" s="98" t="s">
        <v>64</v>
      </c>
    </row>
    <row r="5" spans="1:19" ht="67.5" customHeight="1">
      <c r="A5" s="437"/>
      <c r="B5" s="438"/>
      <c r="C5" s="439"/>
      <c r="D5" s="440"/>
      <c r="E5" s="447"/>
      <c r="F5" s="429"/>
      <c r="G5" s="422"/>
      <c r="H5" s="431"/>
      <c r="I5" s="422"/>
      <c r="J5" s="431"/>
      <c r="K5" s="424" t="s">
        <v>182</v>
      </c>
      <c r="L5" s="425"/>
      <c r="M5" s="426"/>
      <c r="N5" s="431"/>
      <c r="O5" s="433"/>
      <c r="P5" s="422"/>
      <c r="Q5" s="423"/>
      <c r="R5" s="424" t="s">
        <v>120</v>
      </c>
      <c r="S5" s="426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733.83</v>
      </c>
      <c r="G59" s="202"/>
      <c r="H59" s="204"/>
      <c r="I59" s="205"/>
      <c r="J59" s="205"/>
      <c r="K59" s="206">
        <v>683.21</v>
      </c>
      <c r="L59" s="205">
        <f t="shared" si="24"/>
        <v>50.620000000000005</v>
      </c>
      <c r="M59" s="266">
        <f t="shared" si="25"/>
        <v>1.0740914213784927</v>
      </c>
      <c r="N59" s="236"/>
      <c r="O59" s="220">
        <f>F59-червень!F58</f>
        <v>141.57000000000005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27"/>
      <c r="H89" s="427"/>
      <c r="I89" s="427"/>
      <c r="J89" s="427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19"/>
      <c r="P90" s="419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13"/>
      <c r="H91" s="413"/>
      <c r="I91" s="131"/>
      <c r="J91" s="416"/>
      <c r="K91" s="416"/>
      <c r="L91" s="416"/>
      <c r="M91" s="416"/>
      <c r="N91" s="416"/>
      <c r="O91" s="419"/>
      <c r="P91" s="419"/>
    </row>
    <row r="92" spans="3:16" ht="15.75" customHeight="1">
      <c r="C92" s="87">
        <v>42578</v>
      </c>
      <c r="D92" s="31">
        <v>8357.1</v>
      </c>
      <c r="F92" s="73"/>
      <c r="G92" s="413"/>
      <c r="H92" s="413"/>
      <c r="I92" s="131"/>
      <c r="J92" s="420"/>
      <c r="K92" s="420"/>
      <c r="L92" s="420"/>
      <c r="M92" s="420"/>
      <c r="N92" s="420"/>
      <c r="O92" s="419"/>
      <c r="P92" s="419"/>
    </row>
    <row r="93" spans="3:14" ht="15.75" customHeight="1">
      <c r="C93" s="87"/>
      <c r="F93" s="73"/>
      <c r="G93" s="415"/>
      <c r="H93" s="415"/>
      <c r="I93" s="139"/>
      <c r="J93" s="416"/>
      <c r="K93" s="416"/>
      <c r="L93" s="416"/>
      <c r="M93" s="416"/>
      <c r="N93" s="416"/>
    </row>
    <row r="94" spans="2:14" ht="18.75" customHeight="1">
      <c r="B94" s="417" t="s">
        <v>57</v>
      </c>
      <c r="C94" s="418"/>
      <c r="D94" s="148">
        <v>14372.98265</v>
      </c>
      <c r="E94" s="74"/>
      <c r="F94" s="140" t="s">
        <v>137</v>
      </c>
      <c r="G94" s="413"/>
      <c r="H94" s="413"/>
      <c r="I94" s="141"/>
      <c r="J94" s="416"/>
      <c r="K94" s="416"/>
      <c r="L94" s="416"/>
      <c r="M94" s="416"/>
      <c r="N94" s="416"/>
    </row>
    <row r="95" spans="6:13" ht="9.75" customHeight="1" hidden="1">
      <c r="F95" s="73"/>
      <c r="G95" s="413"/>
      <c r="H95" s="413"/>
      <c r="I95" s="73"/>
      <c r="J95" s="74"/>
      <c r="K95" s="74"/>
      <c r="L95" s="74"/>
      <c r="M95" s="74"/>
    </row>
    <row r="96" spans="2:13" ht="22.5" customHeight="1" hidden="1">
      <c r="B96" s="411" t="s">
        <v>60</v>
      </c>
      <c r="C96" s="412"/>
      <c r="D96" s="86">
        <v>0</v>
      </c>
      <c r="E96" s="56" t="s">
        <v>24</v>
      </c>
      <c r="F96" s="73"/>
      <c r="G96" s="413"/>
      <c r="H96" s="413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14"/>
      <c r="P98" s="414"/>
    </row>
    <row r="99" spans="15:16" ht="15">
      <c r="O99" s="413"/>
      <c r="P99" s="413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7" sqref="G6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0" t="s">
        <v>177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44" t="s">
        <v>172</v>
      </c>
      <c r="N3" s="423" t="s">
        <v>173</v>
      </c>
      <c r="O3" s="423"/>
      <c r="P3" s="423"/>
      <c r="Q3" s="423"/>
      <c r="R3" s="423"/>
    </row>
    <row r="4" spans="1:18" ht="22.5" customHeight="1">
      <c r="A4" s="436"/>
      <c r="B4" s="438"/>
      <c r="C4" s="439"/>
      <c r="D4" s="440"/>
      <c r="E4" s="446" t="s">
        <v>170</v>
      </c>
      <c r="F4" s="448" t="s">
        <v>34</v>
      </c>
      <c r="G4" s="421" t="s">
        <v>171</v>
      </c>
      <c r="H4" s="430" t="s">
        <v>175</v>
      </c>
      <c r="I4" s="421" t="s">
        <v>122</v>
      </c>
      <c r="J4" s="430" t="s">
        <v>123</v>
      </c>
      <c r="K4" s="248" t="s">
        <v>65</v>
      </c>
      <c r="L4" s="283" t="s">
        <v>64</v>
      </c>
      <c r="M4" s="430"/>
      <c r="N4" s="432" t="s">
        <v>178</v>
      </c>
      <c r="O4" s="421" t="s">
        <v>50</v>
      </c>
      <c r="P4" s="423" t="s">
        <v>49</v>
      </c>
      <c r="Q4" s="284" t="s">
        <v>65</v>
      </c>
      <c r="R4" s="285" t="s">
        <v>64</v>
      </c>
    </row>
    <row r="5" spans="1:18" ht="67.5" customHeight="1">
      <c r="A5" s="437"/>
      <c r="B5" s="438"/>
      <c r="C5" s="439"/>
      <c r="D5" s="440"/>
      <c r="E5" s="447"/>
      <c r="F5" s="449"/>
      <c r="G5" s="422"/>
      <c r="H5" s="431"/>
      <c r="I5" s="422"/>
      <c r="J5" s="431"/>
      <c r="K5" s="424" t="s">
        <v>174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f>591.66+0.6</f>
        <v>592.26</v>
      </c>
      <c r="G58" s="310"/>
      <c r="H58" s="311"/>
      <c r="I58" s="312"/>
      <c r="J58" s="312"/>
      <c r="K58" s="313">
        <f>F58-577.4</f>
        <v>14.860000000000014</v>
      </c>
      <c r="L58" s="313">
        <f>F58/577.4*100</f>
        <v>102.57360581918947</v>
      </c>
      <c r="M58" s="341"/>
      <c r="N58" s="342">
        <f>F58-травень!F58</f>
        <v>113.58999999999997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30.75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7"/>
      <c r="H88" s="427"/>
      <c r="I88" s="427"/>
      <c r="J88" s="427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19"/>
      <c r="O89" s="419"/>
    </row>
    <row r="90" spans="3:15" ht="15">
      <c r="C90" s="87">
        <v>42550</v>
      </c>
      <c r="D90" s="31">
        <v>11029.3</v>
      </c>
      <c r="F90" s="124" t="s">
        <v>59</v>
      </c>
      <c r="G90" s="413"/>
      <c r="H90" s="413"/>
      <c r="I90" s="131"/>
      <c r="J90" s="416"/>
      <c r="K90" s="416"/>
      <c r="L90" s="416"/>
      <c r="M90" s="416"/>
      <c r="N90" s="419"/>
      <c r="O90" s="419"/>
    </row>
    <row r="91" spans="3:15" ht="15.75" customHeight="1">
      <c r="C91" s="87">
        <v>42545</v>
      </c>
      <c r="D91" s="31">
        <v>6499.7</v>
      </c>
      <c r="F91" s="73"/>
      <c r="G91" s="413"/>
      <c r="H91" s="413"/>
      <c r="I91" s="131"/>
      <c r="J91" s="420"/>
      <c r="K91" s="420"/>
      <c r="L91" s="420"/>
      <c r="M91" s="420"/>
      <c r="N91" s="419"/>
      <c r="O91" s="419"/>
    </row>
    <row r="92" spans="3:13" ht="15.75" customHeight="1">
      <c r="C92" s="87"/>
      <c r="F92" s="73"/>
      <c r="G92" s="415"/>
      <c r="H92" s="415"/>
      <c r="I92" s="139"/>
      <c r="J92" s="416"/>
      <c r="K92" s="416"/>
      <c r="L92" s="416"/>
      <c r="M92" s="416"/>
    </row>
    <row r="93" spans="2:13" ht="18.75" customHeight="1">
      <c r="B93" s="417" t="s">
        <v>57</v>
      </c>
      <c r="C93" s="418"/>
      <c r="D93" s="148">
        <v>9447.89588</v>
      </c>
      <c r="E93" s="74"/>
      <c r="F93" s="140" t="s">
        <v>137</v>
      </c>
      <c r="G93" s="413"/>
      <c r="H93" s="413"/>
      <c r="I93" s="141"/>
      <c r="J93" s="416"/>
      <c r="K93" s="416"/>
      <c r="L93" s="416"/>
      <c r="M93" s="416"/>
    </row>
    <row r="94" spans="6:12" ht="9.75" customHeight="1">
      <c r="F94" s="73"/>
      <c r="G94" s="413"/>
      <c r="H94" s="413"/>
      <c r="I94" s="73"/>
      <c r="J94" s="74"/>
      <c r="K94" s="74"/>
      <c r="L94" s="74"/>
    </row>
    <row r="95" spans="2:12" ht="22.5" customHeight="1">
      <c r="B95" s="411" t="s">
        <v>60</v>
      </c>
      <c r="C95" s="412"/>
      <c r="D95" s="86">
        <v>0</v>
      </c>
      <c r="E95" s="56" t="s">
        <v>24</v>
      </c>
      <c r="F95" s="73"/>
      <c r="G95" s="413"/>
      <c r="H95" s="413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14"/>
      <c r="O97" s="414"/>
    </row>
    <row r="98" spans="14:15" ht="15">
      <c r="N98" s="413"/>
      <c r="O98" s="413"/>
    </row>
    <row r="99" ht="15">
      <c r="N99" s="31"/>
    </row>
    <row r="102" ht="15">
      <c r="E102" s="4" t="s">
        <v>59</v>
      </c>
    </row>
  </sheetData>
  <sheetProtection/>
  <mergeCells count="37">
    <mergeCell ref="N98:O98"/>
    <mergeCell ref="G92:H92"/>
    <mergeCell ref="J92:M92"/>
    <mergeCell ref="B93:C93"/>
    <mergeCell ref="G93:H93"/>
    <mergeCell ref="J93:M93"/>
    <mergeCell ref="G94:H94"/>
    <mergeCell ref="G91:H91"/>
    <mergeCell ref="J91:M91"/>
    <mergeCell ref="N91:O91"/>
    <mergeCell ref="B95:C95"/>
    <mergeCell ref="G95:H95"/>
    <mergeCell ref="N97:O97"/>
    <mergeCell ref="G88:J88"/>
    <mergeCell ref="N89:O89"/>
    <mergeCell ref="G90:H90"/>
    <mergeCell ref="J90:M90"/>
    <mergeCell ref="N90:O90"/>
    <mergeCell ref="G4:G5"/>
    <mergeCell ref="H4:H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Q5:R5"/>
    <mergeCell ref="E4:E5"/>
    <mergeCell ref="F4:F5"/>
    <mergeCell ref="I4:I5"/>
    <mergeCell ref="J4:J5"/>
    <mergeCell ref="N4:N5"/>
    <mergeCell ref="O4:O5"/>
  </mergeCells>
  <printOptions/>
  <pageMargins left="0.1968503937007874" right="0.1968503937007874" top="0.1968503937007874" bottom="0.1968503937007874" header="0" footer="0"/>
  <pageSetup fitToHeight="1" fitToWidth="1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G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0" sqref="G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4" t="s">
        <v>168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44" t="s">
        <v>162</v>
      </c>
      <c r="N3" s="445" t="s">
        <v>163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158</v>
      </c>
      <c r="F4" s="452" t="s">
        <v>34</v>
      </c>
      <c r="G4" s="421" t="s">
        <v>159</v>
      </c>
      <c r="H4" s="430" t="s">
        <v>160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32" t="s">
        <v>169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78.7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161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7"/>
      <c r="H88" s="427"/>
      <c r="I88" s="427"/>
      <c r="J88" s="427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19"/>
      <c r="O89" s="419"/>
    </row>
    <row r="90" spans="3:15" ht="15">
      <c r="C90" s="87">
        <v>42520</v>
      </c>
      <c r="D90" s="31">
        <v>8891</v>
      </c>
      <c r="F90" s="124" t="s">
        <v>59</v>
      </c>
      <c r="G90" s="413"/>
      <c r="H90" s="413"/>
      <c r="I90" s="131"/>
      <c r="J90" s="416"/>
      <c r="K90" s="416"/>
      <c r="L90" s="416"/>
      <c r="M90" s="416"/>
      <c r="N90" s="419"/>
      <c r="O90" s="419"/>
    </row>
    <row r="91" spans="3:15" ht="15.75" customHeight="1">
      <c r="C91" s="87">
        <v>42517</v>
      </c>
      <c r="D91" s="31">
        <v>7356.3</v>
      </c>
      <c r="F91" s="73"/>
      <c r="G91" s="413"/>
      <c r="H91" s="413"/>
      <c r="I91" s="131"/>
      <c r="J91" s="420"/>
      <c r="K91" s="420"/>
      <c r="L91" s="420"/>
      <c r="M91" s="420"/>
      <c r="N91" s="419"/>
      <c r="O91" s="419"/>
    </row>
    <row r="92" spans="3:13" ht="15.75" customHeight="1">
      <c r="C92" s="87"/>
      <c r="F92" s="73"/>
      <c r="G92" s="415"/>
      <c r="H92" s="415"/>
      <c r="I92" s="139"/>
      <c r="J92" s="416"/>
      <c r="K92" s="416"/>
      <c r="L92" s="416"/>
      <c r="M92" s="416"/>
    </row>
    <row r="93" spans="2:13" ht="18.75" customHeight="1">
      <c r="B93" s="417" t="s">
        <v>57</v>
      </c>
      <c r="C93" s="418"/>
      <c r="D93" s="148">
        <v>2811.04042</v>
      </c>
      <c r="E93" s="74"/>
      <c r="F93" s="140" t="s">
        <v>137</v>
      </c>
      <c r="G93" s="413"/>
      <c r="H93" s="413"/>
      <c r="I93" s="141"/>
      <c r="J93" s="416"/>
      <c r="K93" s="416"/>
      <c r="L93" s="416"/>
      <c r="M93" s="416"/>
    </row>
    <row r="94" spans="6:12" ht="9.75" customHeight="1">
      <c r="F94" s="73"/>
      <c r="G94" s="413"/>
      <c r="H94" s="413"/>
      <c r="I94" s="73"/>
      <c r="J94" s="74"/>
      <c r="K94" s="74"/>
      <c r="L94" s="74"/>
    </row>
    <row r="95" spans="2:12" ht="22.5" customHeight="1">
      <c r="B95" s="411" t="s">
        <v>60</v>
      </c>
      <c r="C95" s="412"/>
      <c r="D95" s="86">
        <v>0</v>
      </c>
      <c r="E95" s="56" t="s">
        <v>24</v>
      </c>
      <c r="F95" s="73"/>
      <c r="G95" s="413"/>
      <c r="H95" s="413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14"/>
      <c r="O97" s="414"/>
    </row>
    <row r="98" spans="14:15" ht="15">
      <c r="N98" s="413"/>
      <c r="O98" s="413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27" sqref="N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4" t="s">
        <v>156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44" t="s">
        <v>153</v>
      </c>
      <c r="N3" s="445" t="s">
        <v>154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150</v>
      </c>
      <c r="F4" s="452" t="s">
        <v>34</v>
      </c>
      <c r="G4" s="421" t="s">
        <v>151</v>
      </c>
      <c r="H4" s="430" t="s">
        <v>152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32" t="s">
        <v>157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78.7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155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27"/>
      <c r="H84" s="427"/>
      <c r="I84" s="427"/>
      <c r="J84" s="427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19"/>
      <c r="O85" s="419"/>
    </row>
    <row r="86" spans="3:15" ht="15">
      <c r="C86" s="87">
        <v>42488</v>
      </c>
      <c r="D86" s="31">
        <v>11419.7</v>
      </c>
      <c r="F86" s="124" t="s">
        <v>59</v>
      </c>
      <c r="G86" s="413"/>
      <c r="H86" s="413"/>
      <c r="I86" s="131"/>
      <c r="J86" s="416"/>
      <c r="K86" s="416"/>
      <c r="L86" s="416"/>
      <c r="M86" s="416"/>
      <c r="N86" s="419"/>
      <c r="O86" s="419"/>
    </row>
    <row r="87" spans="3:15" ht="15.75" customHeight="1">
      <c r="C87" s="87">
        <v>42487</v>
      </c>
      <c r="D87" s="31">
        <v>7800.7</v>
      </c>
      <c r="F87" s="73"/>
      <c r="G87" s="413"/>
      <c r="H87" s="413"/>
      <c r="I87" s="131"/>
      <c r="J87" s="420"/>
      <c r="K87" s="420"/>
      <c r="L87" s="420"/>
      <c r="M87" s="420"/>
      <c r="N87" s="419"/>
      <c r="O87" s="419"/>
    </row>
    <row r="88" spans="3:13" ht="15.75" customHeight="1">
      <c r="C88" s="87"/>
      <c r="F88" s="73"/>
      <c r="G88" s="415"/>
      <c r="H88" s="415"/>
      <c r="I88" s="139"/>
      <c r="J88" s="416"/>
      <c r="K88" s="416"/>
      <c r="L88" s="416"/>
      <c r="M88" s="416"/>
    </row>
    <row r="89" spans="2:13" ht="18.75" customHeight="1">
      <c r="B89" s="417" t="s">
        <v>57</v>
      </c>
      <c r="C89" s="418"/>
      <c r="D89" s="148">
        <v>9087.9705</v>
      </c>
      <c r="E89" s="74"/>
      <c r="F89" s="140" t="s">
        <v>137</v>
      </c>
      <c r="G89" s="413"/>
      <c r="H89" s="413"/>
      <c r="I89" s="141"/>
      <c r="J89" s="416"/>
      <c r="K89" s="416"/>
      <c r="L89" s="416"/>
      <c r="M89" s="416"/>
    </row>
    <row r="90" spans="6:12" ht="9.75" customHeight="1">
      <c r="F90" s="73"/>
      <c r="G90" s="413"/>
      <c r="H90" s="413"/>
      <c r="I90" s="73"/>
      <c r="J90" s="74"/>
      <c r="K90" s="74"/>
      <c r="L90" s="74"/>
    </row>
    <row r="91" spans="2:12" ht="22.5" customHeight="1" hidden="1">
      <c r="B91" s="411" t="s">
        <v>60</v>
      </c>
      <c r="C91" s="412"/>
      <c r="D91" s="86">
        <v>0</v>
      </c>
      <c r="E91" s="56" t="s">
        <v>24</v>
      </c>
      <c r="F91" s="73"/>
      <c r="G91" s="413"/>
      <c r="H91" s="413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13"/>
      <c r="O92" s="413"/>
    </row>
    <row r="93" spans="4:15" ht="15">
      <c r="D93" s="83"/>
      <c r="I93" s="31"/>
      <c r="N93" s="414"/>
      <c r="O93" s="414"/>
    </row>
    <row r="94" spans="14:15" ht="15">
      <c r="N94" s="413"/>
      <c r="O94" s="413"/>
    </row>
    <row r="98" ht="15">
      <c r="E98" s="4" t="s">
        <v>59</v>
      </c>
    </row>
  </sheetData>
  <sheetProtection/>
  <mergeCells count="39"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  <mergeCell ref="G90:H90"/>
    <mergeCell ref="G86:H86"/>
    <mergeCell ref="J86:M86"/>
    <mergeCell ref="N86:O86"/>
    <mergeCell ref="G87:H87"/>
    <mergeCell ref="J87:M87"/>
    <mergeCell ref="N87:O87"/>
    <mergeCell ref="O4:O5"/>
    <mergeCell ref="P4:P5"/>
    <mergeCell ref="K5:L5"/>
    <mergeCell ref="Q5:R5"/>
    <mergeCell ref="G84:J84"/>
    <mergeCell ref="N85:O85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4" t="s">
        <v>148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44" t="s">
        <v>147</v>
      </c>
      <c r="N3" s="445" t="s">
        <v>143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146</v>
      </c>
      <c r="F4" s="452" t="s">
        <v>34</v>
      </c>
      <c r="G4" s="421" t="s">
        <v>141</v>
      </c>
      <c r="H4" s="430" t="s">
        <v>142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32" t="s">
        <v>149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78.7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144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27"/>
      <c r="H83" s="427"/>
      <c r="I83" s="427"/>
      <c r="J83" s="427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19"/>
      <c r="O84" s="419"/>
    </row>
    <row r="85" spans="3:15" ht="15">
      <c r="C85" s="87">
        <v>42459</v>
      </c>
      <c r="D85" s="31">
        <v>7576.3</v>
      </c>
      <c r="F85" s="124" t="s">
        <v>59</v>
      </c>
      <c r="G85" s="413"/>
      <c r="H85" s="413"/>
      <c r="I85" s="131"/>
      <c r="J85" s="416"/>
      <c r="K85" s="416"/>
      <c r="L85" s="416"/>
      <c r="M85" s="416"/>
      <c r="N85" s="419"/>
      <c r="O85" s="419"/>
    </row>
    <row r="86" spans="3:15" ht="15.75" customHeight="1">
      <c r="C86" s="87">
        <v>42458</v>
      </c>
      <c r="D86" s="31">
        <v>9190.1</v>
      </c>
      <c r="F86" s="73"/>
      <c r="G86" s="413"/>
      <c r="H86" s="413"/>
      <c r="I86" s="131"/>
      <c r="J86" s="420"/>
      <c r="K86" s="420"/>
      <c r="L86" s="420"/>
      <c r="M86" s="420"/>
      <c r="N86" s="419"/>
      <c r="O86" s="419"/>
    </row>
    <row r="87" spans="3:13" ht="15.75" customHeight="1">
      <c r="C87" s="87"/>
      <c r="F87" s="73"/>
      <c r="G87" s="415"/>
      <c r="H87" s="415"/>
      <c r="I87" s="139"/>
      <c r="J87" s="416"/>
      <c r="K87" s="416"/>
      <c r="L87" s="416"/>
      <c r="M87" s="416"/>
    </row>
    <row r="88" spans="2:13" ht="18.75" customHeight="1">
      <c r="B88" s="417" t="s">
        <v>57</v>
      </c>
      <c r="C88" s="418"/>
      <c r="D88" s="148">
        <f>4343.7</f>
        <v>4343.7</v>
      </c>
      <c r="E88" s="74"/>
      <c r="F88" s="140" t="s">
        <v>137</v>
      </c>
      <c r="G88" s="413"/>
      <c r="H88" s="413"/>
      <c r="I88" s="141"/>
      <c r="J88" s="416"/>
      <c r="K88" s="416"/>
      <c r="L88" s="416"/>
      <c r="M88" s="416"/>
    </row>
    <row r="89" spans="6:12" ht="9.75" customHeight="1">
      <c r="F89" s="73"/>
      <c r="G89" s="413"/>
      <c r="H89" s="413"/>
      <c r="I89" s="73"/>
      <c r="J89" s="74"/>
      <c r="K89" s="74"/>
      <c r="L89" s="74"/>
    </row>
    <row r="90" spans="2:12" ht="22.5" customHeight="1" hidden="1">
      <c r="B90" s="411" t="s">
        <v>60</v>
      </c>
      <c r="C90" s="412"/>
      <c r="D90" s="86">
        <v>0</v>
      </c>
      <c r="E90" s="56" t="s">
        <v>24</v>
      </c>
      <c r="F90" s="73"/>
      <c r="G90" s="413"/>
      <c r="H90" s="413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3"/>
      <c r="O91" s="413"/>
    </row>
    <row r="92" spans="4:15" ht="15">
      <c r="D92" s="83"/>
      <c r="I92" s="31"/>
      <c r="N92" s="414"/>
      <c r="O92" s="414"/>
    </row>
    <row r="93" spans="14:15" ht="15">
      <c r="N93" s="413"/>
      <c r="O93" s="413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35" sqref="U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4" t="s">
        <v>139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54" t="s">
        <v>128</v>
      </c>
      <c r="N3" s="445" t="s">
        <v>119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127</v>
      </c>
      <c r="F4" s="452" t="s">
        <v>34</v>
      </c>
      <c r="G4" s="421" t="s">
        <v>116</v>
      </c>
      <c r="H4" s="430" t="s">
        <v>117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32" t="s">
        <v>140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92.2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118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7"/>
      <c r="H83" s="427"/>
      <c r="I83" s="427"/>
      <c r="J83" s="427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19"/>
      <c r="O84" s="419"/>
    </row>
    <row r="85" spans="3:15" ht="15">
      <c r="C85" s="87">
        <v>42426</v>
      </c>
      <c r="D85" s="31">
        <v>6256.2</v>
      </c>
      <c r="F85" s="124" t="s">
        <v>59</v>
      </c>
      <c r="G85" s="413"/>
      <c r="H85" s="413"/>
      <c r="I85" s="131"/>
      <c r="J85" s="416"/>
      <c r="K85" s="416"/>
      <c r="L85" s="416"/>
      <c r="M85" s="416"/>
      <c r="N85" s="419"/>
      <c r="O85" s="419"/>
    </row>
    <row r="86" spans="3:15" ht="15.75" customHeight="1">
      <c r="C86" s="87">
        <v>42425</v>
      </c>
      <c r="D86" s="31">
        <v>3536.9</v>
      </c>
      <c r="F86" s="73"/>
      <c r="G86" s="413"/>
      <c r="H86" s="413"/>
      <c r="I86" s="131"/>
      <c r="J86" s="420"/>
      <c r="K86" s="420"/>
      <c r="L86" s="420"/>
      <c r="M86" s="420"/>
      <c r="N86" s="419"/>
      <c r="O86" s="419"/>
    </row>
    <row r="87" spans="3:13" ht="15.75" customHeight="1">
      <c r="C87" s="87"/>
      <c r="F87" s="73"/>
      <c r="G87" s="415"/>
      <c r="H87" s="415"/>
      <c r="I87" s="139"/>
      <c r="J87" s="416"/>
      <c r="K87" s="416"/>
      <c r="L87" s="416"/>
      <c r="M87" s="416"/>
    </row>
    <row r="88" spans="2:13" ht="18.75" customHeight="1">
      <c r="B88" s="417" t="s">
        <v>57</v>
      </c>
      <c r="C88" s="418"/>
      <c r="D88" s="148">
        <v>505.3</v>
      </c>
      <c r="E88" s="74"/>
      <c r="F88" s="140" t="s">
        <v>137</v>
      </c>
      <c r="G88" s="413"/>
      <c r="H88" s="413"/>
      <c r="I88" s="141"/>
      <c r="J88" s="416"/>
      <c r="K88" s="416"/>
      <c r="L88" s="416"/>
      <c r="M88" s="416"/>
    </row>
    <row r="89" spans="6:12" ht="9.75" customHeight="1">
      <c r="F89" s="73"/>
      <c r="G89" s="413"/>
      <c r="H89" s="413"/>
      <c r="I89" s="73"/>
      <c r="J89" s="74"/>
      <c r="K89" s="74"/>
      <c r="L89" s="74"/>
    </row>
    <row r="90" spans="2:12" ht="22.5" customHeight="1" hidden="1">
      <c r="B90" s="411" t="s">
        <v>60</v>
      </c>
      <c r="C90" s="412"/>
      <c r="D90" s="86">
        <v>0</v>
      </c>
      <c r="E90" s="56" t="s">
        <v>24</v>
      </c>
      <c r="F90" s="73"/>
      <c r="G90" s="413"/>
      <c r="H90" s="413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3"/>
      <c r="O91" s="413"/>
    </row>
    <row r="92" spans="4:15" ht="15">
      <c r="D92" s="83"/>
      <c r="I92" s="31"/>
      <c r="N92" s="414"/>
      <c r="O92" s="414"/>
    </row>
    <row r="93" spans="14:15" ht="15">
      <c r="N93" s="413"/>
      <c r="O93" s="413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4" t="s">
        <v>114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 t="s">
        <v>135</v>
      </c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54" t="s">
        <v>132</v>
      </c>
      <c r="N3" s="445" t="s">
        <v>66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129</v>
      </c>
      <c r="F4" s="452" t="s">
        <v>34</v>
      </c>
      <c r="G4" s="421" t="s">
        <v>130</v>
      </c>
      <c r="H4" s="430" t="s">
        <v>131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55" t="s">
        <v>133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92.2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134</v>
      </c>
      <c r="L5" s="426"/>
      <c r="M5" s="431"/>
      <c r="N5" s="456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7"/>
      <c r="H83" s="427"/>
      <c r="I83" s="427"/>
      <c r="J83" s="427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19"/>
      <c r="O84" s="419"/>
    </row>
    <row r="85" spans="3:15" ht="15">
      <c r="C85" s="87">
        <v>42397</v>
      </c>
      <c r="D85" s="31">
        <v>8685</v>
      </c>
      <c r="F85" s="124" t="s">
        <v>59</v>
      </c>
      <c r="G85" s="413"/>
      <c r="H85" s="413"/>
      <c r="I85" s="131"/>
      <c r="J85" s="416"/>
      <c r="K85" s="416"/>
      <c r="L85" s="416"/>
      <c r="M85" s="416"/>
      <c r="N85" s="419"/>
      <c r="O85" s="419"/>
    </row>
    <row r="86" spans="3:15" ht="15.75" customHeight="1">
      <c r="C86" s="87">
        <v>42396</v>
      </c>
      <c r="D86" s="31">
        <v>4820.3</v>
      </c>
      <c r="F86" s="73"/>
      <c r="G86" s="413"/>
      <c r="H86" s="413"/>
      <c r="I86" s="131"/>
      <c r="J86" s="420"/>
      <c r="K86" s="420"/>
      <c r="L86" s="420"/>
      <c r="M86" s="420"/>
      <c r="N86" s="419"/>
      <c r="O86" s="419"/>
    </row>
    <row r="87" spans="3:13" ht="15.75" customHeight="1">
      <c r="C87" s="87"/>
      <c r="F87" s="73"/>
      <c r="G87" s="415"/>
      <c r="H87" s="415"/>
      <c r="I87" s="139"/>
      <c r="J87" s="416"/>
      <c r="K87" s="416"/>
      <c r="L87" s="416"/>
      <c r="M87" s="416"/>
    </row>
    <row r="88" spans="2:13" ht="18.75" customHeight="1">
      <c r="B88" s="417" t="s">
        <v>57</v>
      </c>
      <c r="C88" s="418"/>
      <c r="D88" s="148">
        <v>300.92</v>
      </c>
      <c r="E88" s="74"/>
      <c r="F88" s="140"/>
      <c r="G88" s="413"/>
      <c r="H88" s="413"/>
      <c r="I88" s="141"/>
      <c r="J88" s="416"/>
      <c r="K88" s="416"/>
      <c r="L88" s="416"/>
      <c r="M88" s="416"/>
    </row>
    <row r="89" spans="6:12" ht="9.75" customHeight="1">
      <c r="F89" s="73"/>
      <c r="G89" s="413"/>
      <c r="H89" s="413"/>
      <c r="I89" s="73"/>
      <c r="J89" s="74"/>
      <c r="K89" s="74"/>
      <c r="L89" s="74"/>
    </row>
    <row r="90" spans="2:12" ht="22.5" customHeight="1" hidden="1">
      <c r="B90" s="411" t="s">
        <v>60</v>
      </c>
      <c r="C90" s="412"/>
      <c r="D90" s="86">
        <v>0</v>
      </c>
      <c r="E90" s="56" t="s">
        <v>24</v>
      </c>
      <c r="F90" s="73"/>
      <c r="G90" s="413"/>
      <c r="H90" s="413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3"/>
      <c r="O91" s="413"/>
    </row>
    <row r="92" spans="4:15" ht="15">
      <c r="D92" s="83"/>
      <c r="I92" s="31"/>
      <c r="N92" s="414"/>
      <c r="O92" s="414"/>
    </row>
    <row r="93" spans="14:15" ht="15">
      <c r="N93" s="413"/>
      <c r="O93" s="413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4" t="s">
        <v>114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 t="s">
        <v>136</v>
      </c>
      <c r="C3" s="439" t="s">
        <v>0</v>
      </c>
      <c r="D3" s="440" t="s">
        <v>115</v>
      </c>
      <c r="E3" s="34"/>
      <c r="F3" s="441" t="s">
        <v>26</v>
      </c>
      <c r="G3" s="442"/>
      <c r="H3" s="442"/>
      <c r="I3" s="442"/>
      <c r="J3" s="443"/>
      <c r="K3" s="89"/>
      <c r="L3" s="89"/>
      <c r="M3" s="454" t="s">
        <v>107</v>
      </c>
      <c r="N3" s="445" t="s">
        <v>66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104</v>
      </c>
      <c r="F4" s="457" t="s">
        <v>34</v>
      </c>
      <c r="G4" s="421" t="s">
        <v>109</v>
      </c>
      <c r="H4" s="430" t="s">
        <v>110</v>
      </c>
      <c r="I4" s="421" t="s">
        <v>105</v>
      </c>
      <c r="J4" s="430" t="s">
        <v>106</v>
      </c>
      <c r="K4" s="91" t="s">
        <v>65</v>
      </c>
      <c r="L4" s="96" t="s">
        <v>64</v>
      </c>
      <c r="M4" s="430"/>
      <c r="N4" s="455" t="s">
        <v>103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76.5" customHeight="1">
      <c r="A5" s="437"/>
      <c r="B5" s="438"/>
      <c r="C5" s="439"/>
      <c r="D5" s="440"/>
      <c r="E5" s="447"/>
      <c r="F5" s="458"/>
      <c r="G5" s="422"/>
      <c r="H5" s="431"/>
      <c r="I5" s="422"/>
      <c r="J5" s="431"/>
      <c r="K5" s="424" t="s">
        <v>108</v>
      </c>
      <c r="L5" s="426"/>
      <c r="M5" s="431"/>
      <c r="N5" s="456"/>
      <c r="O5" s="422"/>
      <c r="P5" s="423"/>
      <c r="Q5" s="424" t="s">
        <v>126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27"/>
      <c r="H82" s="427"/>
      <c r="I82" s="427"/>
      <c r="J82" s="427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19"/>
      <c r="O83" s="419"/>
    </row>
    <row r="84" spans="3:15" ht="15">
      <c r="C84" s="87">
        <v>42397</v>
      </c>
      <c r="D84" s="31">
        <v>8685</v>
      </c>
      <c r="F84" s="166" t="s">
        <v>59</v>
      </c>
      <c r="G84" s="413"/>
      <c r="H84" s="413"/>
      <c r="I84" s="131"/>
      <c r="J84" s="416"/>
      <c r="K84" s="416"/>
      <c r="L84" s="416"/>
      <c r="M84" s="416"/>
      <c r="N84" s="419"/>
      <c r="O84" s="419"/>
    </row>
    <row r="85" spans="3:15" ht="15.75" customHeight="1">
      <c r="C85" s="87">
        <v>42396</v>
      </c>
      <c r="D85" s="31">
        <v>4820.3</v>
      </c>
      <c r="F85" s="167"/>
      <c r="G85" s="413"/>
      <c r="H85" s="413"/>
      <c r="I85" s="131"/>
      <c r="J85" s="420"/>
      <c r="K85" s="420"/>
      <c r="L85" s="420"/>
      <c r="M85" s="420"/>
      <c r="N85" s="419"/>
      <c r="O85" s="419"/>
    </row>
    <row r="86" spans="3:13" ht="15.75" customHeight="1">
      <c r="C86" s="87"/>
      <c r="F86" s="167"/>
      <c r="G86" s="415"/>
      <c r="H86" s="415"/>
      <c r="I86" s="139"/>
      <c r="J86" s="416"/>
      <c r="K86" s="416"/>
      <c r="L86" s="416"/>
      <c r="M86" s="416"/>
    </row>
    <row r="87" spans="2:13" ht="18.75" customHeight="1">
      <c r="B87" s="417" t="s">
        <v>57</v>
      </c>
      <c r="C87" s="418"/>
      <c r="D87" s="148">
        <v>300.92</v>
      </c>
      <c r="E87" s="74"/>
      <c r="F87" s="168"/>
      <c r="G87" s="413"/>
      <c r="H87" s="413"/>
      <c r="I87" s="141"/>
      <c r="J87" s="416"/>
      <c r="K87" s="416"/>
      <c r="L87" s="416"/>
      <c r="M87" s="416"/>
    </row>
    <row r="88" spans="6:12" ht="9.75" customHeight="1">
      <c r="F88" s="167"/>
      <c r="G88" s="413"/>
      <c r="H88" s="413"/>
      <c r="I88" s="73"/>
      <c r="J88" s="74"/>
      <c r="K88" s="74"/>
      <c r="L88" s="74"/>
    </row>
    <row r="89" spans="2:12" ht="22.5" customHeight="1" hidden="1">
      <c r="B89" s="411" t="s">
        <v>60</v>
      </c>
      <c r="C89" s="412"/>
      <c r="D89" s="86">
        <v>0</v>
      </c>
      <c r="E89" s="56" t="s">
        <v>24</v>
      </c>
      <c r="F89" s="167"/>
      <c r="G89" s="413"/>
      <c r="H89" s="413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13"/>
      <c r="O90" s="413"/>
    </row>
    <row r="91" spans="4:15" ht="15">
      <c r="D91" s="83"/>
      <c r="I91" s="31"/>
      <c r="N91" s="414"/>
      <c r="O91" s="414"/>
    </row>
    <row r="92" spans="14:15" ht="15">
      <c r="N92" s="413"/>
      <c r="O92" s="413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2016-08-05T11:52:24Z</cp:lastPrinted>
  <dcterms:created xsi:type="dcterms:W3CDTF">2003-07-28T11:27:56Z</dcterms:created>
  <dcterms:modified xsi:type="dcterms:W3CDTF">2016-08-05T12:04:17Z</dcterms:modified>
  <cp:category/>
  <cp:version/>
  <cp:contentType/>
  <cp:contentStatus/>
</cp:coreProperties>
</file>